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<sst xmlns="http://schemas.openxmlformats.org/spreadsheetml/2006/main" count="5858" uniqueCount="1830">
  <si>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</si>
  <si>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</si>
  <si>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</si>
  <si>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</si>
  <si>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</si>
  <si>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</si>
  <si>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</si>
  <si>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</si>
  <si>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</si>
  <si>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</si>
  <si>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</si>
  <si>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</si>
  <si>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</si>
  <si>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</si>
  <si>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</si>
  <si>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</si>
  <si>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</si>
  <si>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</si>
  <si>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</si>
  <si>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</si>
  <si>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</si>
  <si>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</si>
  <si>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</si>
  <si>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</si>
  <si>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</si>
  <si>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</si>
  <si>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</si>
  <si>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</si>
  <si>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</si>
  <si>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</si>
  <si>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</si>
  <si>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</si>
  <si>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</si>
  <si>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</si>
  <si>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</si>
  <si>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</si>
  <si>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</si>
  <si>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</si>
  <si>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</si>
  <si>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</si>
  <si>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</si>
  <si>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</si>
  <si>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</si>
  <si>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</si>
  <si>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</si>
  <si>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</si>
  <si>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</si>
  <si>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</si>
  <si>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</si>
  <si>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</si>
  <si>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</si>
  <si>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</si>
  <si>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</si>
  <si>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</si>
  <si>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</si>
  <si>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</si>
  <si>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</si>
  <si>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</si>
  <si>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</si>
  <si>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</si>
  <si>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</si>
  <si>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</si>
  <si>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</si>
  <si>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</si>
  <si>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</si>
  <si>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</si>
  <si>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</si>
  <si>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</si>
  <si>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</si>
  <si>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</si>
  <si>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</si>
  <si>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</si>
  <si>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</si>
  <si>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</si>
  <si>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</si>
  <si>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</si>
  <si>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</si>
  <si>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</si>
  <si>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</si>
  <si>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</si>
  <si>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</si>
  <si>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</si>
  <si>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</si>
  <si>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</si>
  <si>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</si>
  <si>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</si>
  <si>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</si>
  <si>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</si>
  <si>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</si>
  <si>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</si>
  <si>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</si>
  <si>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</si>
  <si>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</si>
  <si>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</si>
  <si>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</si>
  <si>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</si>
  <si>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</si>
  <si>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</si>
  <si>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</si>
  <si>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</si>
  <si>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</si>
  <si>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</si>
  <si>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</si>
  <si>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</si>
  <si>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</si>
  <si>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</si>
  <si>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</si>
  <si>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</si>
  <si>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</si>
  <si>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</si>
  <si>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</si>
  <si>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</si>
  <si>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</si>
  <si>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</si>
  <si>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</si>
  <si>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</si>
  <si>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</si>
  <si>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</si>
  <si>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</si>
  <si>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</si>
  <si>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</si>
  <si>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</si>
  <si>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</si>
  <si>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</si>
  <si>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</si>
  <si>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</si>
  <si>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</si>
  <si>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</si>
  <si>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</si>
  <si>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</si>
  <si>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</si>
  <si>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</si>
  <si>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</si>
  <si>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</si>
  <si>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</si>
  <si>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</si>
  <si>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</si>
  <si>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</si>
  <si>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</si>
  <si>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</si>
  <si>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</si>
  <si>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</si>
  <si>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</si>
  <si>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</si>
  <si>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</si>
  <si>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</si>
  <si>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</si>
  <si>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</si>
  <si>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</si>
  <si>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</si>
  <si>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</si>
  <si>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</si>
  <si>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</si>
  <si>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</si>
  <si>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</si>
  <si>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</si>
  <si>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</si>
  <si>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</si>
  <si>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</si>
  <si>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</si>
  <si>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</si>
  <si>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</si>
  <si>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</si>
  <si>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</si>
  <si>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</si>
  <si>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</si>
  <si>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</si>
  <si>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</si>
  <si>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</si>
  <si>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</si>
  <si>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</si>
  <si>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</si>
  <si>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</si>
  <si>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</si>
  <si>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</si>
  <si>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</si>
  <si>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</si>
  <si>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</si>
  <si>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</si>
  <si>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</si>
  <si>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</si>
  <si>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</si>
  <si>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</si>
  <si>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</si>
  <si>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</si>
  <si>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</si>
  <si>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</si>
  <si>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</si>
  <si>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</si>
  <si>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</si>
  <si>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</si>
  <si>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</si>
  <si>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</si>
  <si>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</si>
  <si>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</si>
  <si>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</si>
  <si>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</si>
  <si>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</si>
  <si>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</si>
  <si>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</si>
  <si>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</si>
  <si>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</si>
  <si>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</si>
  <si>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</si>
  <si>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</si>
  <si>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</si>
  <si>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</si>
  <si>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</si>
  <si>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</si>
  <si>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</si>
  <si>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</si>
  <si>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</si>
  <si>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</si>
  <si>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</si>
  <si>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</si>
  <si>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</si>
  <si>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</si>
  <si>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</si>
  <si>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</si>
  <si>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</si>
  <si>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</si>
  <si>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</si>
  <si>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</si>
  <si>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</si>
  <si>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</si>
  <si>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</si>
  <si>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</si>
  <si>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</si>
  <si>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</si>
  <si>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</si>
  <si>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</si>
  <si>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</si>
  <si>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</si>
  <si>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</si>
  <si>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</si>
  <si>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</si>
  <si>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</si>
  <si>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</si>
  <si>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</si>
  <si>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</si>
  <si>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</si>
  <si>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</si>
  <si>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</si>
  <si>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</si>
  <si>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</si>
  <si>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</si>
  <si>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</si>
  <si>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</si>
  <si>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</si>
  <si>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</si>
  <si>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</si>
  <si>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</si>
  <si>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</si>
  <si>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</si>
  <si>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</si>
  <si>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</si>
  <si>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</si>
  <si>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</si>
  <si>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</si>
  <si>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</si>
  <si>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</si>
  <si>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</si>
  <si>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</si>
  <si>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</si>
  <si>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</si>
  <si>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</si>
  <si>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</si>
  <si>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</si>
  <si>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</si>
  <si>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</si>
  <si>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</si>
  <si>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</si>
  <si>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</si>
  <si>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</si>
  <si>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</si>
  <si>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</si>
  <si>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</si>
  <si>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</si>
  <si>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</si>
  <si>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</si>
  <si>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</si>
  <si>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</si>
  <si>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</si>
  <si>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</si>
  <si>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</si>
  <si>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</si>
  <si>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</si>
  <si>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</si>
  <si>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</si>
  <si>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</si>
  <si>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</si>
  <si>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</si>
  <si>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</si>
  <si>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</si>
  <si>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</si>
  <si>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</si>
  <si>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</si>
  <si>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</si>
  <si>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</si>
  <si>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</si>
  <si>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</si>
  <si>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</si>
  <si>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</si>
  <si>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</si>
  <si>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</si>
  <si>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</si>
  <si>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</si>
  <si>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</si>
  <si>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</si>
  <si>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</si>
  <si>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</si>
  <si>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</si>
  <si>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</si>
  <si>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</si>
  <si>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</si>
  <si>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</si>
  <si>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</si>
  <si>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</si>
  <si>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</si>
  <si>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</si>
  <si>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</si>
  <si>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</si>
  <si>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</si>
  <si>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</si>
  <si>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</si>
  <si>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</si>
  <si>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</si>
  <si>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</si>
  <si>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</si>
  <si>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</si>
  <si>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</si>
  <si>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</si>
  <si>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</si>
  <si>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</si>
  <si>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</si>
  <si>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</si>
  <si>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</si>
  <si>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</si>
  <si>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</si>
  <si>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</si>
  <si>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</si>
  <si>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</si>
  <si>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</si>
  <si>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</si>
  <si>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</si>
  <si>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</si>
  <si>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</si>
  <si>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</si>
  <si>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</si>
  <si>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</si>
  <si>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</si>
  <si>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</si>
  <si>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</si>
  <si>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</si>
  <si>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</si>
  <si>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</si>
  <si>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</si>
  <si>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</si>
  <si>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</si>
  <si>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</si>
  <si>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</si>
  <si>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</si>
  <si>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</si>
  <si>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</si>
  <si>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</si>
  <si>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</si>
  <si>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</si>
  <si>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</si>
  <si>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</si>
  <si>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</si>
  <si>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</si>
  <si>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</si>
  <si>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</si>
  <si>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</si>
  <si>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</si>
  <si>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</si>
  <si>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</si>
  <si>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</si>
  <si>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</si>
  <si>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</si>
  <si>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</si>
  <si>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</si>
  <si>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</si>
  <si>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</si>
  <si>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</si>
  <si>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</si>
  <si>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</si>
  <si>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</si>
  <si>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</si>
  <si>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</si>
  <si>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</si>
  <si>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</si>
  <si>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</si>
  <si>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</si>
  <si>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</si>
  <si>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</si>
  <si>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</si>
  <si>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</si>
  <si>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</si>
  <si>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</si>
  <si>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</si>
  <si>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</si>
  <si>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</si>
  <si>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</si>
  <si>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Poznámka:</t>
  </si>
  <si>
    <t>Objekt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</si>
  <si>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</si>
  <si>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</si>
  <si>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</si>
  <si>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</si>
  <si>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</si>
  <si>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</si>
  <si>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</si>
  <si>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</si>
  <si>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</si>
  <si>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Kód</t>
  </si>
  <si>
    <t>121101100R00</t>
  </si>
  <si>
    <t>122201101R00</t>
  </si>
  <si>
    <t>122201109R00</t>
  </si>
  <si>
    <t>132201119R00</t>
  </si>
  <si>
    <t>132201110R00</t>
  </si>
  <si>
    <t>167101101R00</t>
  </si>
  <si>
    <t>162701105R00</t>
  </si>
  <si>
    <t>119100222VD</t>
  </si>
  <si>
    <t>171201101R00</t>
  </si>
  <si>
    <t>175101201R00</t>
  </si>
  <si>
    <t>274313611R00</t>
  </si>
  <si>
    <t>274351215RT1</t>
  </si>
  <si>
    <t>274351216R00</t>
  </si>
  <si>
    <t>274354033R00</t>
  </si>
  <si>
    <t>271531113R00</t>
  </si>
  <si>
    <t>274272150RT3</t>
  </si>
  <si>
    <t>274361821R00</t>
  </si>
  <si>
    <t>273313611R00</t>
  </si>
  <si>
    <t>273361921RT4</t>
  </si>
  <si>
    <t>273351215RT1</t>
  </si>
  <si>
    <t>273351216R00</t>
  </si>
  <si>
    <t>721176222R00</t>
  </si>
  <si>
    <t>311419812R00</t>
  </si>
  <si>
    <t>311412116R00</t>
  </si>
  <si>
    <t>311412111R00</t>
  </si>
  <si>
    <t>317121231R00</t>
  </si>
  <si>
    <t>317121233R00</t>
  </si>
  <si>
    <t>317121236R00</t>
  </si>
  <si>
    <t>317121213R00</t>
  </si>
  <si>
    <t>317121201R00</t>
  </si>
  <si>
    <t>317121200R00</t>
  </si>
  <si>
    <t>317121204R00</t>
  </si>
  <si>
    <t>314140156VD</t>
  </si>
  <si>
    <t>314140155VD</t>
  </si>
  <si>
    <t>314140166VD</t>
  </si>
  <si>
    <t>342271335R00</t>
  </si>
  <si>
    <t>342271323R00</t>
  </si>
  <si>
    <t>342948111R00</t>
  </si>
  <si>
    <t>342255032RT2</t>
  </si>
  <si>
    <t>342255024RT1</t>
  </si>
  <si>
    <t>342267111RT2</t>
  </si>
  <si>
    <t>41240131VD</t>
  </si>
  <si>
    <t>41240130VD</t>
  </si>
  <si>
    <t>417321414R00</t>
  </si>
  <si>
    <t>417351111R00</t>
  </si>
  <si>
    <t>417351113R00</t>
  </si>
  <si>
    <t>417351115R00</t>
  </si>
  <si>
    <t>417351116R00</t>
  </si>
  <si>
    <t>417361821R00</t>
  </si>
  <si>
    <t>411321414R00</t>
  </si>
  <si>
    <t>416026122R00</t>
  </si>
  <si>
    <t>416026124R00</t>
  </si>
  <si>
    <t>43170450VD</t>
  </si>
  <si>
    <t>43170460VD</t>
  </si>
  <si>
    <t>612445710R00</t>
  </si>
  <si>
    <t>612481211RT2</t>
  </si>
  <si>
    <t>611474860RT4</t>
  </si>
  <si>
    <t>611481211RT2</t>
  </si>
  <si>
    <t>622481211RT2</t>
  </si>
  <si>
    <t>602016183RT1</t>
  </si>
  <si>
    <t>602016191R00</t>
  </si>
  <si>
    <t>632419104R00</t>
  </si>
  <si>
    <t>632441047RT2</t>
  </si>
  <si>
    <t>632441047RT3</t>
  </si>
  <si>
    <t>631312621R00</t>
  </si>
  <si>
    <t>631361921RT0</t>
  </si>
  <si>
    <t>631319151R00</t>
  </si>
  <si>
    <t>631319171R00</t>
  </si>
  <si>
    <t>631571003R00</t>
  </si>
  <si>
    <t>583374020VD</t>
  </si>
  <si>
    <t>648991111RT4</t>
  </si>
  <si>
    <t>642941111RT2</t>
  </si>
  <si>
    <t>642942994VD</t>
  </si>
  <si>
    <t>642942993VD</t>
  </si>
  <si>
    <t>642942990VD</t>
  </si>
  <si>
    <t>642942991VD</t>
  </si>
  <si>
    <t>642942992VD</t>
  </si>
  <si>
    <t>711</t>
  </si>
  <si>
    <t>711111001RZ1</t>
  </si>
  <si>
    <t>711141559RY2</t>
  </si>
  <si>
    <t>711141559RT1</t>
  </si>
  <si>
    <t>62836108</t>
  </si>
  <si>
    <t>711212000RU1</t>
  </si>
  <si>
    <t>711212002RT1</t>
  </si>
  <si>
    <t>711212231R00</t>
  </si>
  <si>
    <t>998711102R00</t>
  </si>
  <si>
    <t>712</t>
  </si>
  <si>
    <t>712371801RZ4</t>
  </si>
  <si>
    <t>712378003R00</t>
  </si>
  <si>
    <t>998712102R00</t>
  </si>
  <si>
    <t>713</t>
  </si>
  <si>
    <t>713111111RT1</t>
  </si>
  <si>
    <t>631508596</t>
  </si>
  <si>
    <t>713111211RK4</t>
  </si>
  <si>
    <t>713111121R00</t>
  </si>
  <si>
    <t>6315085922</t>
  </si>
  <si>
    <t>713121118RU1</t>
  </si>
  <si>
    <t>713121111R00</t>
  </si>
  <si>
    <t>28375867</t>
  </si>
  <si>
    <t>28375868</t>
  </si>
  <si>
    <t>713111231RK2</t>
  </si>
  <si>
    <t>28375871</t>
  </si>
  <si>
    <t>713141221RO2</t>
  </si>
  <si>
    <t>713141125R00</t>
  </si>
  <si>
    <t>28375972</t>
  </si>
  <si>
    <t>213151121R00</t>
  </si>
  <si>
    <t>69366202</t>
  </si>
  <si>
    <t>998713102R00</t>
  </si>
  <si>
    <t>721</t>
  </si>
  <si>
    <t>721242111RT1</t>
  </si>
  <si>
    <t>722</t>
  </si>
  <si>
    <t>722120144VD</t>
  </si>
  <si>
    <t>731</t>
  </si>
  <si>
    <t>73120100VD</t>
  </si>
  <si>
    <t>75100110VD</t>
  </si>
  <si>
    <t>75210300VD</t>
  </si>
  <si>
    <t>762</t>
  </si>
  <si>
    <t>762332120RT2</t>
  </si>
  <si>
    <t>762332120R00</t>
  </si>
  <si>
    <t>762332140RT2</t>
  </si>
  <si>
    <t>762332130RT2</t>
  </si>
  <si>
    <t>762332110RT4</t>
  </si>
  <si>
    <t>762342204RT4</t>
  </si>
  <si>
    <t>762342203RT4</t>
  </si>
  <si>
    <t>762085130R00</t>
  </si>
  <si>
    <t>762083130R00</t>
  </si>
  <si>
    <t>762341620RT3</t>
  </si>
  <si>
    <t>762332110RT5</t>
  </si>
  <si>
    <t>762395000R00</t>
  </si>
  <si>
    <t>762332110RU3</t>
  </si>
  <si>
    <t>762332110R00</t>
  </si>
  <si>
    <t>762341220R00</t>
  </si>
  <si>
    <t>60726122</t>
  </si>
  <si>
    <t>762441111RT3</t>
  </si>
  <si>
    <t>762512245R00</t>
  </si>
  <si>
    <t>60726123</t>
  </si>
  <si>
    <t>762521912R00</t>
  </si>
  <si>
    <t>762521911R00</t>
  </si>
  <si>
    <t>762595000R00</t>
  </si>
  <si>
    <t>605158626</t>
  </si>
  <si>
    <t>605158664</t>
  </si>
  <si>
    <t>605158643</t>
  </si>
  <si>
    <t>605158661</t>
  </si>
  <si>
    <t>998762102R00</t>
  </si>
  <si>
    <t>764</t>
  </si>
  <si>
    <t>764908105RT2</t>
  </si>
  <si>
    <t>764908109RT2</t>
  </si>
  <si>
    <t>764410350R00</t>
  </si>
  <si>
    <t>764908102RT2</t>
  </si>
  <si>
    <t>764908201RT2</t>
  </si>
  <si>
    <t>764333320R00</t>
  </si>
  <si>
    <t>764901031R00</t>
  </si>
  <si>
    <t>764901035VD</t>
  </si>
  <si>
    <t>998764102R00</t>
  </si>
  <si>
    <t>765</t>
  </si>
  <si>
    <t>765799312RK8</t>
  </si>
  <si>
    <t>765332123R00</t>
  </si>
  <si>
    <t>765332132R00</t>
  </si>
  <si>
    <t>765332141R00</t>
  </si>
  <si>
    <t>765332161R00</t>
  </si>
  <si>
    <t>765332651R00</t>
  </si>
  <si>
    <t>765332621R00</t>
  </si>
  <si>
    <t>765332611R00</t>
  </si>
  <si>
    <t>765332671R00</t>
  </si>
  <si>
    <t>765332642R00</t>
  </si>
  <si>
    <t>765332632R00</t>
  </si>
  <si>
    <t>765332631R00</t>
  </si>
  <si>
    <t>765332521R00</t>
  </si>
  <si>
    <t>765332511R00</t>
  </si>
  <si>
    <t>998765102R00</t>
  </si>
  <si>
    <t>766</t>
  </si>
  <si>
    <t>766100149VD</t>
  </si>
  <si>
    <t>766100141VD</t>
  </si>
  <si>
    <t>766150152VD</t>
  </si>
  <si>
    <t>766152330VD</t>
  </si>
  <si>
    <t>766420010RAA</t>
  </si>
  <si>
    <t>766210112VD</t>
  </si>
  <si>
    <t>766200151VD</t>
  </si>
  <si>
    <t>766629304R00</t>
  </si>
  <si>
    <t>766629301R00</t>
  </si>
  <si>
    <t>766629302R00</t>
  </si>
  <si>
    <t>766629303R00</t>
  </si>
  <si>
    <t>766130149VD</t>
  </si>
  <si>
    <t>766220100VD</t>
  </si>
  <si>
    <t>766220105VD</t>
  </si>
  <si>
    <t>61143067</t>
  </si>
  <si>
    <t>61143080</t>
  </si>
  <si>
    <t>61143805</t>
  </si>
  <si>
    <t>61143037</t>
  </si>
  <si>
    <t>61143032</t>
  </si>
  <si>
    <t>61143137</t>
  </si>
  <si>
    <t>61143062</t>
  </si>
  <si>
    <t>61143061</t>
  </si>
  <si>
    <t>61143082</t>
  </si>
  <si>
    <t>611510600VD</t>
  </si>
  <si>
    <t>611510601VD</t>
  </si>
  <si>
    <t>611510602VD</t>
  </si>
  <si>
    <t>766410010RAA</t>
  </si>
  <si>
    <t>998766202R00</t>
  </si>
  <si>
    <t>767</t>
  </si>
  <si>
    <t>767100095VD</t>
  </si>
  <si>
    <t>767210900VD</t>
  </si>
  <si>
    <t>76720960VD</t>
  </si>
  <si>
    <t>767900140VD</t>
  </si>
  <si>
    <t>767900144VD</t>
  </si>
  <si>
    <t>767900146VD</t>
  </si>
  <si>
    <t>767900147VD</t>
  </si>
  <si>
    <t>767100100VD</t>
  </si>
  <si>
    <t>998767202R00</t>
  </si>
  <si>
    <t>771</t>
  </si>
  <si>
    <t>771575109RT2</t>
  </si>
  <si>
    <t>771577133RS1</t>
  </si>
  <si>
    <t>771101210RT1</t>
  </si>
  <si>
    <t>771475014RT1</t>
  </si>
  <si>
    <t>771578011RT2</t>
  </si>
  <si>
    <t>771579791R00</t>
  </si>
  <si>
    <t>771579795R00</t>
  </si>
  <si>
    <t>597623142</t>
  </si>
  <si>
    <t>771479001R00</t>
  </si>
  <si>
    <t>998771102R00</t>
  </si>
  <si>
    <t>775</t>
  </si>
  <si>
    <t>775413022R00</t>
  </si>
  <si>
    <t>776</t>
  </si>
  <si>
    <t>776521200RU7</t>
  </si>
  <si>
    <t>781</t>
  </si>
  <si>
    <t>781101210RT1</t>
  </si>
  <si>
    <t>781415015RT5</t>
  </si>
  <si>
    <t>781419706RT2</t>
  </si>
  <si>
    <t>781497131RS1</t>
  </si>
  <si>
    <t>781497911R00</t>
  </si>
  <si>
    <t>597813665</t>
  </si>
  <si>
    <t>998781102R00</t>
  </si>
  <si>
    <t>783</t>
  </si>
  <si>
    <t>783626211RT1</t>
  </si>
  <si>
    <t>783626001R00</t>
  </si>
  <si>
    <t>783782206R00</t>
  </si>
  <si>
    <t>784</t>
  </si>
  <si>
    <t>784161401R00</t>
  </si>
  <si>
    <t>784165612R00</t>
  </si>
  <si>
    <t>786</t>
  </si>
  <si>
    <t>786613364R00</t>
  </si>
  <si>
    <t>941941041R00</t>
  </si>
  <si>
    <t>941941291R00</t>
  </si>
  <si>
    <t>941941841R00</t>
  </si>
  <si>
    <t>952901111R00</t>
  </si>
  <si>
    <t>95400160VD</t>
  </si>
  <si>
    <t>95400155VD</t>
  </si>
  <si>
    <t>H01</t>
  </si>
  <si>
    <t>998011002R00</t>
  </si>
  <si>
    <t>M21</t>
  </si>
  <si>
    <t>210220021RT1</t>
  </si>
  <si>
    <t>210220022RT1</t>
  </si>
  <si>
    <t>210220010R00</t>
  </si>
  <si>
    <t>210220302RT1</t>
  </si>
  <si>
    <t>210220302RT3</t>
  </si>
  <si>
    <t>167100800VD</t>
  </si>
  <si>
    <t>274272140RT3</t>
  </si>
  <si>
    <t>271531111RL4</t>
  </si>
  <si>
    <t>631319173R00</t>
  </si>
  <si>
    <t>317121234R00</t>
  </si>
  <si>
    <t>317121232R00</t>
  </si>
  <si>
    <t>311419811R00</t>
  </si>
  <si>
    <t>342271323RT1</t>
  </si>
  <si>
    <t>622311519RU1</t>
  </si>
  <si>
    <t>602016213RT3</t>
  </si>
  <si>
    <t>602013177RT1</t>
  </si>
  <si>
    <t>602013191R00</t>
  </si>
  <si>
    <t>622421492R00</t>
  </si>
  <si>
    <t>631313621R00</t>
  </si>
  <si>
    <t>631361921RT4</t>
  </si>
  <si>
    <t>631319163R00</t>
  </si>
  <si>
    <t>648991111RT3</t>
  </si>
  <si>
    <t>998711101R00</t>
  </si>
  <si>
    <t>712378007R00</t>
  </si>
  <si>
    <t>712378008R00</t>
  </si>
  <si>
    <t>712378103RT3</t>
  </si>
  <si>
    <t>712391171RZ1</t>
  </si>
  <si>
    <t>712391172RZ1</t>
  </si>
  <si>
    <t>998712101R00</t>
  </si>
  <si>
    <t>998713101R00</t>
  </si>
  <si>
    <t>762441113RT2</t>
  </si>
  <si>
    <t>764908305RT2</t>
  </si>
  <si>
    <t>766400120VD</t>
  </si>
  <si>
    <t>766840115VD</t>
  </si>
  <si>
    <t>61143816</t>
  </si>
  <si>
    <t>61143791.A</t>
  </si>
  <si>
    <t>767900145VD</t>
  </si>
  <si>
    <t>767995104R00</t>
  </si>
  <si>
    <t>13331782</t>
  </si>
  <si>
    <t>13225206</t>
  </si>
  <si>
    <t>777</t>
  </si>
  <si>
    <t>777551450RT1</t>
  </si>
  <si>
    <t>784165522R00</t>
  </si>
  <si>
    <t>952901411R00</t>
  </si>
  <si>
    <t>953943124R00</t>
  </si>
  <si>
    <t>998011001R00</t>
  </si>
  <si>
    <t>162201102R00</t>
  </si>
  <si>
    <t>174101101R00</t>
  </si>
  <si>
    <t>175203101R00</t>
  </si>
  <si>
    <t>181301103R00</t>
  </si>
  <si>
    <t>311361821R00</t>
  </si>
  <si>
    <t>345231111RT1</t>
  </si>
  <si>
    <t>345232121RT1</t>
  </si>
  <si>
    <t>711823121RT4</t>
  </si>
  <si>
    <t>H15</t>
  </si>
  <si>
    <t>998152111R00</t>
  </si>
  <si>
    <t>181101102R00</t>
  </si>
  <si>
    <t>564761111R00</t>
  </si>
  <si>
    <t>564831111R00</t>
  </si>
  <si>
    <t>564231111R00</t>
  </si>
  <si>
    <t>564772111R00</t>
  </si>
  <si>
    <t>564721111R00</t>
  </si>
  <si>
    <t>596215021R00</t>
  </si>
  <si>
    <t>592452115</t>
  </si>
  <si>
    <t>596215040R00</t>
  </si>
  <si>
    <t>916561111RT7</t>
  </si>
  <si>
    <t>916661111RT5</t>
  </si>
  <si>
    <t>H22</t>
  </si>
  <si>
    <t>998223011R00</t>
  </si>
  <si>
    <t>139601102R00</t>
  </si>
  <si>
    <t>275313611R00</t>
  </si>
  <si>
    <t>318110011RT7</t>
  </si>
  <si>
    <t>311351111R00</t>
  </si>
  <si>
    <t>311351112R00</t>
  </si>
  <si>
    <t>311361921RT4</t>
  </si>
  <si>
    <t>311321824R00</t>
  </si>
  <si>
    <t>338171122R00</t>
  </si>
  <si>
    <t>330321310RT1</t>
  </si>
  <si>
    <t>331351101RT1</t>
  </si>
  <si>
    <t>331351102R00</t>
  </si>
  <si>
    <t>338171113R00</t>
  </si>
  <si>
    <t>767914120R00</t>
  </si>
  <si>
    <t>767200230VD</t>
  </si>
  <si>
    <t>767200220VD</t>
  </si>
  <si>
    <t>767200233VD</t>
  </si>
  <si>
    <t>767200235VD</t>
  </si>
  <si>
    <t>767914110R00</t>
  </si>
  <si>
    <t>767767200193VD</t>
  </si>
  <si>
    <t>767800157VD</t>
  </si>
  <si>
    <t>767800158VD</t>
  </si>
  <si>
    <t>998767201R00</t>
  </si>
  <si>
    <t>95100111VD</t>
  </si>
  <si>
    <t>95104360VD</t>
  </si>
  <si>
    <t>998152121R00</t>
  </si>
  <si>
    <t>75300510VD</t>
  </si>
  <si>
    <t>75300530VD</t>
  </si>
  <si>
    <t>75300503VD</t>
  </si>
  <si>
    <t>210100010RAA</t>
  </si>
  <si>
    <t>875201102VD</t>
  </si>
  <si>
    <t>875301112VD</t>
  </si>
  <si>
    <t>87130100VD</t>
  </si>
  <si>
    <t>8730002VD</t>
  </si>
  <si>
    <t>Rod. domek se sam. garáží</t>
  </si>
  <si>
    <t>Novostavba</t>
  </si>
  <si>
    <t>Úvaly, Praha-východ</t>
  </si>
  <si>
    <t>Zkrácený popis</t>
  </si>
  <si>
    <t>Rozměry</t>
  </si>
  <si>
    <t>Rodinný domek</t>
  </si>
  <si>
    <t>Odkopávky a prokopávky</t>
  </si>
  <si>
    <t>Sejmutí ornice, pl. do 400 m2, přemístění do 50 m</t>
  </si>
  <si>
    <t>18*15*0,4</t>
  </si>
  <si>
    <t>4,5*6*0,4</t>
  </si>
  <si>
    <t>Odkopávky nezapažené v hor. 3 do 100 m3</t>
  </si>
  <si>
    <t>(6*0,85)/2*10</t>
  </si>
  <si>
    <t>Příplatek za lepivost - odkopávky v hor. 3</t>
  </si>
  <si>
    <t>Hloubené vykopávky</t>
  </si>
  <si>
    <t>Příplatek za lepivost - hloubení rýh 60 cm v hor.3</t>
  </si>
  <si>
    <t>Hloubení rýh š.do 60 cm v hor.3 do 50 m3, STROJNĚ</t>
  </si>
  <si>
    <t>4,56*0,6*0,85   Fig.1</t>
  </si>
  <si>
    <t>(5,54+0,6)*0,6*0,4   2</t>
  </si>
  <si>
    <t>7,75*0,6*1,5   3</t>
  </si>
  <si>
    <t>(5,54+0,6)*0,6*0,4   4</t>
  </si>
  <si>
    <t>4,56*0,6*0,85   5</t>
  </si>
  <si>
    <t>7,95*0,6*0,85   6</t>
  </si>
  <si>
    <t>3,96*0,6*0,85   7</t>
  </si>
  <si>
    <t>3,64*0,6*0,7   8</t>
  </si>
  <si>
    <t>5,53*0,6*1   9</t>
  </si>
  <si>
    <t>0,8*0,425*1   10</t>
  </si>
  <si>
    <t>1,15*0,6*0,4   2</t>
  </si>
  <si>
    <t>Přemístění výkopku</t>
  </si>
  <si>
    <t>Nakládání výkopku z hor.1-4 v množství do 100 m3</t>
  </si>
  <si>
    <t>25,5</t>
  </si>
  <si>
    <t>26,12</t>
  </si>
  <si>
    <t>Vodorovné přemístění výkopku z hor.1-4 do 10000 m</t>
  </si>
  <si>
    <t>51,62</t>
  </si>
  <si>
    <t>-5,95</t>
  </si>
  <si>
    <t>Poplatek za skládku zeminy</t>
  </si>
  <si>
    <t>Konstrukce ze zemin</t>
  </si>
  <si>
    <t>Uložení sypaniny do násypů nezhutněných</t>
  </si>
  <si>
    <t>Obsyp objektu bez prohození sypaniny</t>
  </si>
  <si>
    <t>Základy</t>
  </si>
  <si>
    <t>Beton základových pasů prostý C 16/20</t>
  </si>
  <si>
    <t>(3,46+8,95+3,46)*0,6*0,85</t>
  </si>
  <si>
    <t>(3,46+3,845)*0,6*0,85</t>
  </si>
  <si>
    <t>(5,54+0,5)*0,6*0,6</t>
  </si>
  <si>
    <t>8,95*0,6*0,6</t>
  </si>
  <si>
    <t>5,94*0,6*0,6*2</t>
  </si>
  <si>
    <t>0,8*0,425*0,6</t>
  </si>
  <si>
    <t>1,15*0,6*0,6</t>
  </si>
  <si>
    <t>Bednění stěn základových pasů - zřízení</t>
  </si>
  <si>
    <t>Bednění stěn základových pasů - odstranění</t>
  </si>
  <si>
    <t>Bednění prostupu základem do 0,05 m2, dl.1,0 m</t>
  </si>
  <si>
    <t>Polštář základu z kameniva hr. drceného 16-32 mm</t>
  </si>
  <si>
    <t>3,705*6,3*0,3   pod zákl. desku</t>
  </si>
  <si>
    <t>-0,4*0,3*0,3</t>
  </si>
  <si>
    <t>2,73*3,845*0,3</t>
  </si>
  <si>
    <t>3,17*3,845*0,3</t>
  </si>
  <si>
    <t>Zdivo základové z bednicích tvárnic, tl. 40 cm</t>
  </si>
  <si>
    <t>(3,56+8,75+3,56)*0,75</t>
  </si>
  <si>
    <t>3,56*0,75</t>
  </si>
  <si>
    <t>3,845*0,75</t>
  </si>
  <si>
    <t>(6,14*0,5*3)</t>
  </si>
  <si>
    <t>8,75*0,5</t>
  </si>
  <si>
    <t>0,4*0,5*2</t>
  </si>
  <si>
    <t>Výztuž základ. pasů z betonářské oceli 10505 (R)</t>
  </si>
  <si>
    <t>Beton základových desek prostý C 16/20</t>
  </si>
  <si>
    <t>10,5*8,75*0,12</t>
  </si>
  <si>
    <t>Výztuž základových desek ze svařovaných sítí</t>
  </si>
  <si>
    <t>10,5*8,75*0,0044*1,05</t>
  </si>
  <si>
    <t>Bednění stěn základových desek - zřízení</t>
  </si>
  <si>
    <t>(10,5+8,75)*0,2*2</t>
  </si>
  <si>
    <t>Bednění stěn základových desek - odstranění</t>
  </si>
  <si>
    <t>Potrubí KG svodné (ležaté) v zemi D 110 x 3,2 mm</t>
  </si>
  <si>
    <t>0,75+0,75   průchodka voda</t>
  </si>
  <si>
    <t>Zdi podpěrné a volné</t>
  </si>
  <si>
    <t>Izolace perimetr. deskami tl. 10 cm, nopová fólie</t>
  </si>
  <si>
    <t>3,96*0,865   Z</t>
  </si>
  <si>
    <t>6,54*0,615   Z</t>
  </si>
  <si>
    <t>8,95*0,615   J</t>
  </si>
  <si>
    <t>6,54*(0,615+0,465)/2   V</t>
  </si>
  <si>
    <t>3,96*(0,0,465+0,565)/2   V</t>
  </si>
  <si>
    <t>8,95*0,565   S</t>
  </si>
  <si>
    <t>Sendwix P, zdivo tl. 240 mm, EPS tl. 200 mm,omítka</t>
  </si>
  <si>
    <t>10,5*2,64*2   I.NP obvod. stěny</t>
  </si>
  <si>
    <t>8,27*2,615*2   vč. vyzdívky,kotv. izolantu, venk. omítky</t>
  </si>
  <si>
    <t>-2,4*2,45*2</t>
  </si>
  <si>
    <t>-2*0,75</t>
  </si>
  <si>
    <t>-0,75*1,5</t>
  </si>
  <si>
    <t>-1,3*2,2</t>
  </si>
  <si>
    <t>-1,25*1,5</t>
  </si>
  <si>
    <t>10,5*2,25*2   II.NP obvod. stěny</t>
  </si>
  <si>
    <t>8,27*2,25*2</t>
  </si>
  <si>
    <t>-2,4*1,25*2</t>
  </si>
  <si>
    <t>-0,75*1,25</t>
  </si>
  <si>
    <t>-0,75*2</t>
  </si>
  <si>
    <t>-1*1,25</t>
  </si>
  <si>
    <t>-1,25*1,25</t>
  </si>
  <si>
    <t>8,75*0,35*2   štíty podkr.</t>
  </si>
  <si>
    <t>8,75*1,73/2*2</t>
  </si>
  <si>
    <t>Sendwix P, zdivo tl. 240 mm,</t>
  </si>
  <si>
    <t>10,02*2,615   I.NP vnitř. stěna</t>
  </si>
  <si>
    <t>-0,9*2,15</t>
  </si>
  <si>
    <t>-0,8*2,15</t>
  </si>
  <si>
    <t>Překlad Sendwix tl. zdiva 240 mm, délka 1250 mm</t>
  </si>
  <si>
    <t>2   I.NP vn. zeď</t>
  </si>
  <si>
    <t>Překlad Sendwix tl. zdiva 240 mm, délka 1750 mm</t>
  </si>
  <si>
    <t>1   I.NP obvod. zeď</t>
  </si>
  <si>
    <t>Překlad Sendwix tl. zdiva 240 mm, délka 2500 mm</t>
  </si>
  <si>
    <t>2   I.NP  obvod. zeď</t>
  </si>
  <si>
    <t>1   II.NP</t>
  </si>
  <si>
    <t>Překlad Sendwix tl. zdiva 175 mm, délka 1750 mm</t>
  </si>
  <si>
    <t>1   I.NP příčky 175</t>
  </si>
  <si>
    <t>Překlad Sendwix tl. zdiva 115 mm, délka 1250 mm</t>
  </si>
  <si>
    <t>1   I.NP příčky 115</t>
  </si>
  <si>
    <t>4   II.NP</t>
  </si>
  <si>
    <t>Překlad Sendwix tl. zdiva 115 mm, délka 1000 mm</t>
  </si>
  <si>
    <t>Překlad Sendwix tl. zdiva 115 mm, délka 2000 mm</t>
  </si>
  <si>
    <t>Komín Ytong D200 prodloužení 3m -400/400/3000</t>
  </si>
  <si>
    <t>Komín YTONG D200mm, základní 400/400/6000</t>
  </si>
  <si>
    <t>Vyzdívka komína YTONG D200</t>
  </si>
  <si>
    <t>Stěny a příčky</t>
  </si>
  <si>
    <t>Příčky z tvárnic vápenopísk. 4DF-D  tl.115 mm MC20</t>
  </si>
  <si>
    <t>1,36*2,89   I.NP 1.03</t>
  </si>
  <si>
    <t>(2,58+2,73)*2,89   1.02</t>
  </si>
  <si>
    <t>-1,5*2</t>
  </si>
  <si>
    <t>1,975*2,89   1-01</t>
  </si>
  <si>
    <t>(0,885*2,89)   1,06</t>
  </si>
  <si>
    <t>1*1,605</t>
  </si>
  <si>
    <t>(1,06+2,89)/2*1,645</t>
  </si>
  <si>
    <t>-0,67*2,15</t>
  </si>
  <si>
    <t>10,07*2,64   II.NP</t>
  </si>
  <si>
    <t>3,94*2,97   2.06/ 207</t>
  </si>
  <si>
    <t>-0,7*2,1</t>
  </si>
  <si>
    <t>4,215*2,97*2   2.07/2,02- 2.04/2.03</t>
  </si>
  <si>
    <t>1,835+2,755)*2,97   2.03</t>
  </si>
  <si>
    <t>0,76*2,97   2.04</t>
  </si>
  <si>
    <t>Příčky z tvárnic vápenopís. tl.175mm</t>
  </si>
  <si>
    <t>4,09*2,89   I.NP</t>
  </si>
  <si>
    <t>1,5*2,89</t>
  </si>
  <si>
    <t>Ukotvení příček k cihel.konstr. kotvami na hmožd.</t>
  </si>
  <si>
    <t>2,85*5   II.NP</t>
  </si>
  <si>
    <t>2,9*7   I.NP</t>
  </si>
  <si>
    <t>Příčky z desek Ytong tl. 20 cm</t>
  </si>
  <si>
    <t>1*2,6   II.NP 2.04</t>
  </si>
  <si>
    <t>Příčky z desek Ytong tl. 10 cm</t>
  </si>
  <si>
    <t>0,82*2,72   II.NP 2.04</t>
  </si>
  <si>
    <t>1,78*2,6</t>
  </si>
  <si>
    <t>Obklad trámů sádrokartonem dvoustranný do 0,5/0,5m</t>
  </si>
  <si>
    <t>2,63*2   sloupy II.NP</t>
  </si>
  <si>
    <t>Stropy a stropní konstrukce (pro pozemní stavby)</t>
  </si>
  <si>
    <t>Příplatek za montáž-překládka(nemožnost přístupu jeřábu)</t>
  </si>
  <si>
    <t>Dod.+montáž stropní panely PARTEK tl.200mm</t>
  </si>
  <si>
    <t>-38,18   garáž</t>
  </si>
  <si>
    <t>Ztužující pásy a věnce z betonu železového C 25/30</t>
  </si>
  <si>
    <t>10,5*0,24*0,25*2   věnec I.NP</t>
  </si>
  <si>
    <t>8,27*0,24*0,25*2</t>
  </si>
  <si>
    <t>2,25   věnec II.NP</t>
  </si>
  <si>
    <t>10,02*0,115*0,33</t>
  </si>
  <si>
    <t>Bednění ztužujících věnců, obě strany - zřízení</t>
  </si>
  <si>
    <t>10,505*2   Věnec I.NP</t>
  </si>
  <si>
    <t>2,27*2</t>
  </si>
  <si>
    <t>25,55   Věnec II.NP</t>
  </si>
  <si>
    <t>10,02   příčka II.NP</t>
  </si>
  <si>
    <t>Bednění ztužujících věnců, obě strany - odstranění</t>
  </si>
  <si>
    <t>Bednění ztužujících pásů a věnců - zřízení</t>
  </si>
  <si>
    <t>(10,505+8,75)*2*0,2   dobetonávka panelů</t>
  </si>
  <si>
    <t>-2*0,2</t>
  </si>
  <si>
    <t>Bednění ztužujících pásů a věnců - odstranění</t>
  </si>
  <si>
    <t>Výztuž ztužujících pásů a věnců z oceli 10505(R)</t>
  </si>
  <si>
    <t>53*4*2*0,000617   věnce</t>
  </si>
  <si>
    <t>350*0,96*0,000222</t>
  </si>
  <si>
    <t>0,035   konstr. výztuž dobet. panelů</t>
  </si>
  <si>
    <t>10,6*4*0,000617   věnec příčka II.NP</t>
  </si>
  <si>
    <t>34*0,88*0,000222</t>
  </si>
  <si>
    <t>Stropy deskové ze železobetonu C 25/30</t>
  </si>
  <si>
    <t>10,505*0,2*0,14*2   dobetonávky stropů panely</t>
  </si>
  <si>
    <t>8,27*0,24*0,2*2</t>
  </si>
  <si>
    <t>-2*0,2*0,14</t>
  </si>
  <si>
    <t>10,002*0,05*0,2</t>
  </si>
  <si>
    <t>Podhled SDK,ocel.dvouúrov.kříž.rošt, 1x RF 12,5 mm</t>
  </si>
  <si>
    <t>78,2</t>
  </si>
  <si>
    <t>-11</t>
  </si>
  <si>
    <t>Podhled SDK,ocel.dvouúrov.kříž.rošt, 1x RFI 12,5mm</t>
  </si>
  <si>
    <t>11   2.04</t>
  </si>
  <si>
    <t>6,5   1.02</t>
  </si>
  <si>
    <t>Schodiště</t>
  </si>
  <si>
    <t>Dodávka schodišť. konstr. atypická YTONG</t>
  </si>
  <si>
    <t>2*2,66</t>
  </si>
  <si>
    <t>Montáž schod. konstr YTONG, jeřábové práce</t>
  </si>
  <si>
    <t>Úprava povrchů vnitřní</t>
  </si>
  <si>
    <t>Omítka sádrová RIMAT 100 DLP, penetrace, tl. 10 mm</t>
  </si>
  <si>
    <t>(2,755+2+2,755)*2,85   II.NP 2.01</t>
  </si>
  <si>
    <t>(2+0,75+2)*0,16</t>
  </si>
  <si>
    <t>(1,95+1,46+3,95+1,49)*2,85   2.02</t>
  </si>
  <si>
    <t>-0,8*2,2*2</t>
  </si>
  <si>
    <t>-0,9*2,15*3</t>
  </si>
  <si>
    <t>(2,78+4,215)*2*2,85   2.04</t>
  </si>
  <si>
    <t>(0,76+0,115+0,76)*2,85</t>
  </si>
  <si>
    <t>(0,75+2+0,75)*0,16</t>
  </si>
  <si>
    <t>-0,8*2,2</t>
  </si>
  <si>
    <t>(1,835+2,64)*2*2,85   2.03</t>
  </si>
  <si>
    <t>(4,96+3,94)*2*2,85   2.05</t>
  </si>
  <si>
    <t>-2,4*1,25</t>
  </si>
  <si>
    <t>(1,25+2,4+1,25)*0,16</t>
  </si>
  <si>
    <t>(1,25+0,75+1,25)*0,16</t>
  </si>
  <si>
    <t>(4,95+3,94)*2*2,85   2.06</t>
  </si>
  <si>
    <t>(2,1+0,7+2,1)*0,115</t>
  </si>
  <si>
    <t>(3,06+4,215)*2*2,85   2.07</t>
  </si>
  <si>
    <t>(1,25+1+1,25)*0,16</t>
  </si>
  <si>
    <t>(1,25+1,25+1,25)*0,16</t>
  </si>
  <si>
    <t>(1,975+1,5)*2*2,9   I.NP 1.01</t>
  </si>
  <si>
    <t>(2,58+2,615)*2*2,9   1.02</t>
  </si>
  <si>
    <t>-1,55*2,2</t>
  </si>
  <si>
    <t>(1,5+0,75+1,5)*0,16</t>
  </si>
  <si>
    <t>(1,93+1,36)*2*2,9   1.03</t>
  </si>
  <si>
    <t>(10,02+3,94)*2*2,9   1.04</t>
  </si>
  <si>
    <t>(2,45+2,4+2,45)*0,16*2</t>
  </si>
  <si>
    <t>-2*0,75*2</t>
  </si>
  <si>
    <t>(0,75+2+0,75)*0,16*2</t>
  </si>
  <si>
    <t>(0,4*2,9)*2</t>
  </si>
  <si>
    <t>(3+4,09)*2*2,9   1.05</t>
  </si>
  <si>
    <t>(1,5+1,25+1,5)*0,16</t>
  </si>
  <si>
    <t>0,885*2,9   1.06</t>
  </si>
  <si>
    <t>0,885*1,8</t>
  </si>
  <si>
    <t>(1,8+2,9)/2*2,33*2</t>
  </si>
  <si>
    <t>-0,7*2,15</t>
  </si>
  <si>
    <t>(1,57+1,97)/2*2   schod.</t>
  </si>
  <si>
    <t>(1,97+2,9)/2*2,445</t>
  </si>
  <si>
    <t>(4,8+1,36+0,65+1,12+2,15+1,035+1+1,44)*2,9   1.07</t>
  </si>
  <si>
    <t>-0,7*2,2</t>
  </si>
  <si>
    <t>Montáž výztužné sítě (perlinky) do stěrky-stěny</t>
  </si>
  <si>
    <t>(10,02+8,47)*0,3   překrytí věnců II.NP</t>
  </si>
  <si>
    <t>(2,4+2,4+0,75+2+0,75+1+1,25+)*0,16   překrytí nadpraží II.NP</t>
  </si>
  <si>
    <t>10,02*0,33*2   věnec příčky</t>
  </si>
  <si>
    <t>(0,6+0,08+0,6)*2,9   I.NP 1,02</t>
  </si>
  <si>
    <t>0,85*2,2</t>
  </si>
  <si>
    <t>(10,02+8,47)*0,3*2   překrytí věnců I.NP</t>
  </si>
  <si>
    <t>10,02*0,3*2   stř. zeď</t>
  </si>
  <si>
    <t>Omítka stropů vnitřní jednovrstvá sádrová, strojně</t>
  </si>
  <si>
    <t>67,8   I.NP</t>
  </si>
  <si>
    <t>Montáž výztužné sítě (perlinky) do stěrky-stropy</t>
  </si>
  <si>
    <t>67,8   II.NP</t>
  </si>
  <si>
    <t>Úprava povrchů vnější</t>
  </si>
  <si>
    <t>0,4*4*1,2   komín</t>
  </si>
  <si>
    <t>Omítka stěn tenkovrstvá PROFI Silikatputz</t>
  </si>
  <si>
    <t>1,92   komín</t>
  </si>
  <si>
    <t>Penetrační nátěr stěn PROFI Putzgrund</t>
  </si>
  <si>
    <t>Podlahy a podlahové konstrukce</t>
  </si>
  <si>
    <t>Samonivelač. stěrka BASF, ruční zpracování tl.3 mm</t>
  </si>
  <si>
    <t>127,6   pod podl. vinyl</t>
  </si>
  <si>
    <t>Potěr anhydritový, plocha do 500 m2, tl.64 mm</t>
  </si>
  <si>
    <t>73   II.NP</t>
  </si>
  <si>
    <t>6,5   I.NP 1.02</t>
  </si>
  <si>
    <t>Potěr anhydritový, plocha do 500 m2, tl.74 mm</t>
  </si>
  <si>
    <t>3,2   I.NP 1.01</t>
  </si>
  <si>
    <t>39   1.04</t>
  </si>
  <si>
    <t>8,8   1.07</t>
  </si>
  <si>
    <t>Mazanina betonová tl. 5 - 8 cm C 20/25</t>
  </si>
  <si>
    <t>(2,5+12,1+2,2)*0,063   I.NP 1.03, 1.05, 1.06</t>
  </si>
  <si>
    <t>Výztuž mazanin svařovanou sítí</t>
  </si>
  <si>
    <t>(2,5+12,1+2,2)*0,00135*1,08</t>
  </si>
  <si>
    <t>Příplatek za přehlaz. mazanin pod povlaky tl. 8 cm</t>
  </si>
  <si>
    <t>Příplatek za stržení povrchu mazaniny tl. 8 cm</t>
  </si>
  <si>
    <t>Násyp z kačírku</t>
  </si>
  <si>
    <t>10,01*0,05</t>
  </si>
  <si>
    <t>Kamenivo těžené-kačírek praný fr.16/32</t>
  </si>
  <si>
    <t>10,01*1,83*0,05</t>
  </si>
  <si>
    <t>Výplně otvorů</t>
  </si>
  <si>
    <t>Osazení parapet.desek plast. a lamin. š. do 20cm</t>
  </si>
  <si>
    <t>0,75+2+0,75+2,4+2,4+2+1,25+1   II.NP</t>
  </si>
  <si>
    <t>Pouzdro pro posuvné dveře jednostranné, do zdiva</t>
  </si>
  <si>
    <t>1   atyp. rozměr 70/220</t>
  </si>
  <si>
    <t>Osazení dveř. zárubní bezfalc. vč.obl. zár. Sapeli 80/210(19-35)</t>
  </si>
  <si>
    <t>1   I.NP</t>
  </si>
  <si>
    <t>Osazení dveř. zárubní bezfalc. vč.zár. Sapeli 70/210(19 -35)</t>
  </si>
  <si>
    <t>Oazení dveř. zárubní bezfalc. vč.obl. zár. Sapeli 60/210 (7-19)</t>
  </si>
  <si>
    <t>Osazení dveř. zárubní bezfalc. vč. obl. zár. Sapeli 70/210(7-19)</t>
  </si>
  <si>
    <t>2   II.NP</t>
  </si>
  <si>
    <t>Osazení dveř. zárubní bezfalc.vč.obl. zár.Sapeli 80/210(7-19)</t>
  </si>
  <si>
    <t>2   I.NP</t>
  </si>
  <si>
    <t>3   II.NP</t>
  </si>
  <si>
    <t>Izolace proti vodě</t>
  </si>
  <si>
    <t>Izolace proti vlhkosti vodor. nátěr ALP za studena</t>
  </si>
  <si>
    <t>8,75*10,5</t>
  </si>
  <si>
    <t>Izolace proti vlhk. vodorovná pásy přitavením</t>
  </si>
  <si>
    <t>91,88   vč. Glastek 40 s.m.</t>
  </si>
  <si>
    <t>Pás asfaltovaný těžký Bitagit 35 Al + V60 minerál</t>
  </si>
  <si>
    <t>91,88*1,1</t>
  </si>
  <si>
    <t>Penetrace podkladu pod hydroizolační nátěr,vč.dod.</t>
  </si>
  <si>
    <t>(0,82+0,9)*2   2.04</t>
  </si>
  <si>
    <t>(0,8+1,8)*2</t>
  </si>
  <si>
    <t>(3,35+0,965+0,76+0,115+0,76+1,7+2,3)*0,25</t>
  </si>
  <si>
    <t>-0,7</t>
  </si>
  <si>
    <t>Hydroizolační povlak - nátěr nebo stěrka</t>
  </si>
  <si>
    <t>Těsnicí pás do spoje podlaha - stěna FERMACELL</t>
  </si>
  <si>
    <t>(2,78+4,215)*2</t>
  </si>
  <si>
    <t>0,76*2</t>
  </si>
  <si>
    <t>Přesun hmot pro izolace proti vodě, výšky do 12 m</t>
  </si>
  <si>
    <t>Izolace střech (živičné krytiny)</t>
  </si>
  <si>
    <t>Povlaková krytina střech do 10°, fólií PVC</t>
  </si>
  <si>
    <t>10,01   přístřešek</t>
  </si>
  <si>
    <t>(1+1,94+7,3)*0,35   boky</t>
  </si>
  <si>
    <t>(7,22)*0,15</t>
  </si>
  <si>
    <t>Atiková okapnice VIPLANYL RŠ 250 mm</t>
  </si>
  <si>
    <t>7,2+1,94</t>
  </si>
  <si>
    <t>Přesun hmot pro povlakové krytiny, výšky do 12 m</t>
  </si>
  <si>
    <t>Izolace tepelné</t>
  </si>
  <si>
    <t>Izolace tepelné stropů vrchem kladené volně</t>
  </si>
  <si>
    <t>10,02*8,27</t>
  </si>
  <si>
    <t>Pás izolační ISOVER UNIROL PROFI 2400x1200tl.200mm</t>
  </si>
  <si>
    <t>82,87*1,05*0,95</t>
  </si>
  <si>
    <t>Montáž parozábrany krovů spodem s přelepením spojů</t>
  </si>
  <si>
    <t>82,87   vč. Jutafol 140 s</t>
  </si>
  <si>
    <t>Izolace tepelné stropů rovných spodem,</t>
  </si>
  <si>
    <t>82,87</t>
  </si>
  <si>
    <t>Pás izolační ISOVER UNIROL PROFI 6000x1200tl. 80mm</t>
  </si>
  <si>
    <t>Montáž dilatačního pásku podél stěn</t>
  </si>
  <si>
    <t>Izolace tepelná podlah na sucho, jednovrstvá</t>
  </si>
  <si>
    <t>74,3   I.NP</t>
  </si>
  <si>
    <t>Deska polystyrenová EXTRAPOR 100 tl. 40 mm</t>
  </si>
  <si>
    <t>11*1,05   II.NP 2.04</t>
  </si>
  <si>
    <t>Deska polystyrenová EXTRAPOR 100 tl. 50 mm</t>
  </si>
  <si>
    <t>62*1,05   II.NP 2,02, 2,03, 2,05, 2,06,2,07</t>
  </si>
  <si>
    <t>Montáž parozábrany podlah s přelepením spojů</t>
  </si>
  <si>
    <t>Deska polystyrenová EXTRAPOR 100 tl. 100 mm</t>
  </si>
  <si>
    <t>74,3*1,05   I.NP</t>
  </si>
  <si>
    <t>Montáž parozábrany, ploché střechy, přelep. spojů</t>
  </si>
  <si>
    <t>10,01   přístřešek vč. Dekfol 110 s</t>
  </si>
  <si>
    <t>Izolace tepelná střech, desky, na lepidlo PUK -klíny</t>
  </si>
  <si>
    <t>10,01</t>
  </si>
  <si>
    <t>Deska spádová EPS 150 BACHL</t>
  </si>
  <si>
    <t>10,01*(0,02+0,12)/2*1,05</t>
  </si>
  <si>
    <t>Montáž geotextílie</t>
  </si>
  <si>
    <t>Geotextilie GUTTATEX 300 g/m2 š. 200 cm PES</t>
  </si>
  <si>
    <t>10,01*1,05</t>
  </si>
  <si>
    <t>Přesun hmot pro izolace tepelné, výšky do 12 m</t>
  </si>
  <si>
    <t>Vnitřní kanalizace</t>
  </si>
  <si>
    <t>Lapač střešních splavenin PP HL660 D 110 mm</t>
  </si>
  <si>
    <t>Vnitřní vodovod</t>
  </si>
  <si>
    <t>Vnitř. vodoinstalace, kanalizace, ZP, plynoinstalace</t>
  </si>
  <si>
    <t>Ústřední vytápění</t>
  </si>
  <si>
    <t>Montáž ÚT-rozvody,armatury,kotel,radiátory</t>
  </si>
  <si>
    <t>Elektromontážní práce (slaboproud)</t>
  </si>
  <si>
    <t>Vnitřní elektroinstalace-rozvody,kompletace,rozvaděč,revize</t>
  </si>
  <si>
    <t>Montáž hromosvodu, revize</t>
  </si>
  <si>
    <t>Konstrukce tesařské</t>
  </si>
  <si>
    <t>Montáž vázaných krovů pravidelných do 224 cm2</t>
  </si>
  <si>
    <t>11,01*2   pozednice vč.14/12</t>
  </si>
  <si>
    <t>4,15*2   sloupek vč.14/14</t>
  </si>
  <si>
    <t>Montáž vázaných krovů pravidelných do 450 cm2</t>
  </si>
  <si>
    <t>11,01   vaznice vč.14/22</t>
  </si>
  <si>
    <t>Montáž vázaných krovů pravidelných do 288 cm2</t>
  </si>
  <si>
    <t>5,21*11*2   krokev vč.12/20</t>
  </si>
  <si>
    <t>Montáž vázaných krovů pravidelných do 120 cm2</t>
  </si>
  <si>
    <t>8,8*21   kleština vč.5/20</t>
  </si>
  <si>
    <t>Montáž kontralatí přibitím</t>
  </si>
  <si>
    <t>114,72   vč. latí 6/4</t>
  </si>
  <si>
    <t>Montáž laťování střech, vzdálenost latí 22 - 36 cm</t>
  </si>
  <si>
    <t>11,01*5,21*2   vč. latí 6/4</t>
  </si>
  <si>
    <t>Hoblování viditelných částí krovu třístranné</t>
  </si>
  <si>
    <t>0,5*11*2   krokev</t>
  </si>
  <si>
    <t>Profilování zhlaví trámů do 320 cm2</t>
  </si>
  <si>
    <t>11*2</t>
  </si>
  <si>
    <t>Bednění okapových říms z palubek pero-drážka</t>
  </si>
  <si>
    <t>11,01*0,5*2   bednění střechy u okapu</t>
  </si>
  <si>
    <t>10*2   zarážky</t>
  </si>
  <si>
    <t>Spojovací a ochranné prostředky pro střechy</t>
  </si>
  <si>
    <t>0,14*0,12*22,02</t>
  </si>
  <si>
    <t>0,14*0,14*8,3</t>
  </si>
  <si>
    <t>0,14*0,22*11,01</t>
  </si>
  <si>
    <t>0,12*0,2*114,62</t>
  </si>
  <si>
    <t>0,05*0,2*184,8</t>
  </si>
  <si>
    <t>0,06*0,2*20</t>
  </si>
  <si>
    <t>7,44   vaznice přístřešek</t>
  </si>
  <si>
    <t>7,5   vaznice přístřešek</t>
  </si>
  <si>
    <t>1,94+1,8+1,67+1,54+1,4+1,27+1,14+1   krokev-přístřešek10/14</t>
  </si>
  <si>
    <t>2,65   sloupek-přístřešek vč.14/14</t>
  </si>
  <si>
    <t>7,5   hranolek přístřešek vč.8/5</t>
  </si>
  <si>
    <t>M. bedn.střech rovn. z aglomer.desek šroubováním</t>
  </si>
  <si>
    <t>(1,82+0,87)/2*7,44   přístřešek</t>
  </si>
  <si>
    <t>0,06*0,2*7,44   přístřešek</t>
  </si>
  <si>
    <t>0,14*0,2*7,5</t>
  </si>
  <si>
    <t>0,1*0,14*11,76</t>
  </si>
  <si>
    <t>0,14*0,14*2,65</t>
  </si>
  <si>
    <t>0,08*0,05*7,5</t>
  </si>
  <si>
    <t>Deska dřevoštěpková OSB 3 B - 4PD tl. 22 mm</t>
  </si>
  <si>
    <t>10,01*1,1</t>
  </si>
  <si>
    <t>Montáž obložení atiky,OSB desky,1vrst.,přibíjením</t>
  </si>
  <si>
    <t>(0,23+0,12+0,23)*7,5   přístřešek vč. OSB 22mm</t>
  </si>
  <si>
    <t>Položení podlah pod PVC šroubováním</t>
  </si>
  <si>
    <t>10*2,55   podlaha podkroví</t>
  </si>
  <si>
    <t>Deska dřevoštěpková OSB 3 B - 4PD tl. 25 mm</t>
  </si>
  <si>
    <t>25,5*1,05</t>
  </si>
  <si>
    <t>Vyříznutí části podlahy plochy do 1 m2</t>
  </si>
  <si>
    <t>1,2*0,7   schůdky</t>
  </si>
  <si>
    <t>Vyříznutí části podlahy plochy do 0,25 m2</t>
  </si>
  <si>
    <t>0,45*0,45   komín</t>
  </si>
  <si>
    <t>Spojovací a ochranné prostředky k položení podlah</t>
  </si>
  <si>
    <t>25,5*0,025   podlaha podkroví</t>
  </si>
  <si>
    <t>Hranol konstrukční masivní KVH Si  60x200 mm l=5m</t>
  </si>
  <si>
    <t>0,06*0,2*7,44*1,05</t>
  </si>
  <si>
    <t>Hranol konstrukční masivní KVH Si 140x200 mm l=5m</t>
  </si>
  <si>
    <t>0,14*0,2*7,5*1,05</t>
  </si>
  <si>
    <t>Hranol konstrukční masivní KVH Si 100x140 mm l=5m</t>
  </si>
  <si>
    <t>0,1*0,14*11,76*1,05</t>
  </si>
  <si>
    <t>Hranol konstrukční masivní KVH Si 140x140 mm l=5m</t>
  </si>
  <si>
    <t>0,14*0,14*2,65*1,05</t>
  </si>
  <si>
    <t>Přesun hmot pro tesařské konstrukce, výšky do 12 m</t>
  </si>
  <si>
    <t>Konstrukce klempířské</t>
  </si>
  <si>
    <t>Lindab žlab podokapní půlkruhový R,velikost 150 mm</t>
  </si>
  <si>
    <t>Lindab odpadní trouby kruhové SROR, D 100 mm</t>
  </si>
  <si>
    <t>Oplechování parapetů včetně rohů Al, rš 330 mm</t>
  </si>
  <si>
    <t>Lindab kotlík žlabový kónický SOK,vel.žlabu 150 mm</t>
  </si>
  <si>
    <t>Lindab kotlík žlabový čtvercový REOK, žlab 136 mm</t>
  </si>
  <si>
    <t>Lemování zdí na plochých střechách Al, rš 250 mm</t>
  </si>
  <si>
    <t>7,22+1,94</t>
  </si>
  <si>
    <t>Střešní chrlič Topwet 125</t>
  </si>
  <si>
    <t>Montáž chrliče Tpwet 125</t>
  </si>
  <si>
    <t>Přesun hmot pro klempířské konstr., výšky do 12 m</t>
  </si>
  <si>
    <t>Krytina tvrdá</t>
  </si>
  <si>
    <t>Montáž fólie na bednění přibitím</t>
  </si>
  <si>
    <t>114,72   folie Jutadach</t>
  </si>
  <si>
    <t>Krytina beton. KMB Beta Rota,ostatní</t>
  </si>
  <si>
    <t>5,21*11,01*2</t>
  </si>
  <si>
    <t>Krytina beton. KMB Beta Rota, štítové hrany</t>
  </si>
  <si>
    <t>5,21*2*2</t>
  </si>
  <si>
    <t>Hřeben KMB Beta Rota s větracím pásem</t>
  </si>
  <si>
    <t>11,01</t>
  </si>
  <si>
    <t>Hřebenáč KMB Beta Rota koncový</t>
  </si>
  <si>
    <t>Ochranná větrací mřížka KMB</t>
  </si>
  <si>
    <t>11,01*2</t>
  </si>
  <si>
    <t>Tašky KMB Beta, plastové anténní</t>
  </si>
  <si>
    <t>Tašky KMB Beta, plastové odvětrací</t>
  </si>
  <si>
    <t>Přiřezání a uchycení tašek KMB Beta</t>
  </si>
  <si>
    <t>5,21*2</t>
  </si>
  <si>
    <t>Protisněhová zábrana KMB</t>
  </si>
  <si>
    <t>Střešní lávka KMB Beta Rota šířky 90 cm</t>
  </si>
  <si>
    <t>Nášlap KMB Beta Rota</t>
  </si>
  <si>
    <t>Tašky KMB Beta, Rota větrací</t>
  </si>
  <si>
    <t>Střešní okno KMB univerzální, výstupní 45 x 51 cm</t>
  </si>
  <si>
    <t>Přesun hmot pro krytiny tvrdé, výšky do 12 m</t>
  </si>
  <si>
    <t>Konstrukce truhlářské</t>
  </si>
  <si>
    <t>Schody stahovací kovové FAKRO LST280</t>
  </si>
  <si>
    <t>Montáž výsuvných schodů</t>
  </si>
  <si>
    <t>D+M obklad stupnic a podstupnic schodů jasan (dub)+madlo</t>
  </si>
  <si>
    <t>D+M schod. sklen. zábradlí z bezp. skla, kotvení nerez</t>
  </si>
  <si>
    <t>1,05+2,1</t>
  </si>
  <si>
    <t>Obklad podhledu palubkami pero-drážka</t>
  </si>
  <si>
    <t>3,94*2,4   I.NP 2,04 vč. palubek, roštu, nátěr</t>
  </si>
  <si>
    <t>3,94*0,2</t>
  </si>
  <si>
    <t>Okno plastové pevné 140/245 v sestavě s balkon. dveřmi 100/245</t>
  </si>
  <si>
    <t>Dveře vstupní plastové 100/220 s bočním světlíkem 30/220</t>
  </si>
  <si>
    <t>Montáž balkónových dveří plastových v sestavě</t>
  </si>
  <si>
    <t>Montáž oken plastových plochy do 1,50 m2</t>
  </si>
  <si>
    <t>1+1+1+2+1+1+1</t>
  </si>
  <si>
    <t>Montáž oken plastových plochy do 2,70 m2</t>
  </si>
  <si>
    <t>1+1</t>
  </si>
  <si>
    <t>Montáž oken plastových plochy do 4,50 m2</t>
  </si>
  <si>
    <t>Dveře posuvné do pouzdra jednostr.70/220</t>
  </si>
  <si>
    <t>Montáž dveří posuvných</t>
  </si>
  <si>
    <t>Kování dveří vnitř.klika-klika</t>
  </si>
  <si>
    <t>Montáž dveří bezfalcových</t>
  </si>
  <si>
    <t>Okno plastové jednodílné 125 x 150 cm OS</t>
  </si>
  <si>
    <t>Okno plastové jednodílné 200 x 75 cm P</t>
  </si>
  <si>
    <t>Okno plastové jednokřídlé 200 x 75 cm OS</t>
  </si>
  <si>
    <t>Okno plastové jednodílné 75 x 150 cm OS</t>
  </si>
  <si>
    <t>Okno plastové jednodílné 75 x 125 cm OS</t>
  </si>
  <si>
    <t>Okno plastové 2dílné se sloupkem 240 x 125 cm OS/O</t>
  </si>
  <si>
    <t>Okno plastové jednodílné 125 x 125 cm OS</t>
  </si>
  <si>
    <t>Okno plastové jednodílné 100 x 125 cm O, S</t>
  </si>
  <si>
    <t>Okno plastové jednodílné 75 x 200 cm OS</t>
  </si>
  <si>
    <t>Dveře vnitřní bezfalcové hladké 60/210 dle výběru</t>
  </si>
  <si>
    <t>Dveře vnitřní bezfalcové hladké 70/210  dle výběru</t>
  </si>
  <si>
    <t>Dveře vnitřní bezfalcové 80/210 hladké dle výběru</t>
  </si>
  <si>
    <t>3   I.NP</t>
  </si>
  <si>
    <t>Obklad stěn palubkami pero - drážka</t>
  </si>
  <si>
    <t>(1,12+5,95+1,94)*0,59   přístřešek vč. palubek,lakování</t>
  </si>
  <si>
    <t>Přesun hmot pro truhlářské konstr., výšky do 12 m</t>
  </si>
  <si>
    <t>Konstrukce doplňkové stavební (zámečnické)</t>
  </si>
  <si>
    <t>Kotevní patka 30/30pro sloup 14/14 zinkov.</t>
  </si>
  <si>
    <t>Shoz na prádlo pozink. tr.D300 /0,8mm,úpravy pro vhoz a výběr</t>
  </si>
  <si>
    <t>Venk. dvoukř. posuv. okenice 250/260 kov. rá,.výplň dřev. latě D+M</t>
  </si>
  <si>
    <t>D+M větr. mřížka nerez s klapkou 125/125mm</t>
  </si>
  <si>
    <t>D+M větr. mřížka plast D50</t>
  </si>
  <si>
    <t>Dvířka kov. nerez 20/40</t>
  </si>
  <si>
    <t>Dvířka nerez 20/20</t>
  </si>
  <si>
    <t>Kotevní patka sloupku 160/160/8 zinkovaná</t>
  </si>
  <si>
    <t>1   přístřešek</t>
  </si>
  <si>
    <t>Přesun hmot pro zámečnické konstr., výšky do 12 m</t>
  </si>
  <si>
    <t>Podlahy z dlaždic</t>
  </si>
  <si>
    <t>Montáž podlah keram.,hladké, tmel, 30x30 cm</t>
  </si>
  <si>
    <t>11   II.NP</t>
  </si>
  <si>
    <t>6,5   I.NP 1,02</t>
  </si>
  <si>
    <t>2,5   1.03</t>
  </si>
  <si>
    <t>2,2   1.06</t>
  </si>
  <si>
    <t>Lišta nerezová přechodová, stejná výška dlaždic</t>
  </si>
  <si>
    <t>0,7*3</t>
  </si>
  <si>
    <t>0,6</t>
  </si>
  <si>
    <t>Penetrace podkladu pod dlažby</t>
  </si>
  <si>
    <t>11   II.NP 2.04</t>
  </si>
  <si>
    <t>Obklad soklíků keram.rovných, tmel,výška 10 cm</t>
  </si>
  <si>
    <t>(1,93+1,36)*2   1.03</t>
  </si>
  <si>
    <t>(0,885+2,53)*2   1.06</t>
  </si>
  <si>
    <t>-0,6</t>
  </si>
  <si>
    <t>Spára podlaha - stěna, silikonem</t>
  </si>
  <si>
    <t>Příplatek za plochu podlah keram. do 5 m2 jednotl.</t>
  </si>
  <si>
    <t>Příplatek za spárování vodotěsnou hmotou - plošně</t>
  </si>
  <si>
    <t>Dlaždice 30x30 Color Two šedá mat</t>
  </si>
  <si>
    <t>22,2*1,06</t>
  </si>
  <si>
    <t>12,11*0,1*1,1</t>
  </si>
  <si>
    <t>Řezání dlaždic keramických pro soklíky</t>
  </si>
  <si>
    <t>Přesun hmot pro podlahy z dlaždic, výšky do 12 m</t>
  </si>
  <si>
    <t>Podlahy vlysové a parketové</t>
  </si>
  <si>
    <t>Montáž podlahové lišty připevněné vruty, výš. 8 cm</t>
  </si>
  <si>
    <t>0,17*18   schodiště</t>
  </si>
  <si>
    <t>0,29*5</t>
  </si>
  <si>
    <t>0,4*2*2</t>
  </si>
  <si>
    <t>0,65*2</t>
  </si>
  <si>
    <t>0,7*2</t>
  </si>
  <si>
    <t>0,58</t>
  </si>
  <si>
    <t>(3,95+1,46+1,95+0,115+1,575)   II.NP 2,.02</t>
  </si>
  <si>
    <t>-0,8*3</t>
  </si>
  <si>
    <t>-0,7*2</t>
  </si>
  <si>
    <t>(1,835+2,64)*2   2.03</t>
  </si>
  <si>
    <t>(4,95+3,94)*2   2.05</t>
  </si>
  <si>
    <t>-0,8</t>
  </si>
  <si>
    <t>(4,95+3,94)*2   2.06</t>
  </si>
  <si>
    <t>(3,06+4,215)*2   2.07</t>
  </si>
  <si>
    <t>(1,975+1,5)*2   I.NP 1.01</t>
  </si>
  <si>
    <t>-1,3</t>
  </si>
  <si>
    <t>0,16*2</t>
  </si>
  <si>
    <t>(10,02+3,94)*2   1.04</t>
  </si>
  <si>
    <t>-2,4*2</t>
  </si>
  <si>
    <t>0,16*2*2</t>
  </si>
  <si>
    <t>0,4*2</t>
  </si>
  <si>
    <t>(3+4,09)*2   1.05</t>
  </si>
  <si>
    <t>4,8+1,36+0,65+1,11+2,05+1,035+2,1+1,44   1.07</t>
  </si>
  <si>
    <t>Podlahy povlakové</t>
  </si>
  <si>
    <t>Lepení povlak.podlah, dílce PVC a vinyl, Chemopren</t>
  </si>
  <si>
    <t>3,2   I.NP 1,01 vč. dílců Thermofix 150/900/2,5 mm</t>
  </si>
  <si>
    <t>12,1   1.05</t>
  </si>
  <si>
    <t>5,6   II.NP 2.02</t>
  </si>
  <si>
    <t>4,7   2.03</t>
  </si>
  <si>
    <t>19,6   2.05</t>
  </si>
  <si>
    <t>19,6   2.06</t>
  </si>
  <si>
    <t>12,5   2.07</t>
  </si>
  <si>
    <t>Obklady (keramické)</t>
  </si>
  <si>
    <t>Penetrace podkladu pod obklady</t>
  </si>
  <si>
    <t>(2,78+4,215)*2*2,63   II.NP 2.4</t>
  </si>
  <si>
    <t>0,76*2,63*2</t>
  </si>
  <si>
    <t>Montáž obkladů stěn, porovin.,tmel, 20x20,30x15 cm</t>
  </si>
  <si>
    <t>Příplatek za spárovací vodotěsnou hmotu - plošně</t>
  </si>
  <si>
    <t>Lišta nerezová ukončovacích k obkladům</t>
  </si>
  <si>
    <t>(0,75+2+0,75)   2.04</t>
  </si>
  <si>
    <t>2,63*4</t>
  </si>
  <si>
    <t>Profil koutový DILEX-HKW (Schlüter) U 7/ O 7 mm</t>
  </si>
  <si>
    <t>2,63*8   2.04</t>
  </si>
  <si>
    <t>Obkládačka 20x25 světle béžová mat</t>
  </si>
  <si>
    <t>38,13*1,06</t>
  </si>
  <si>
    <t>Přesun hmot pro obklady keramické, výšky do 12 m</t>
  </si>
  <si>
    <t>Nátěry</t>
  </si>
  <si>
    <t>Nátěr truhlářských výrobků lazurovací BASF 2x</t>
  </si>
  <si>
    <t>11,01   bednění střechy-palubky RD</t>
  </si>
  <si>
    <t>(0,2+0,12+0,2)*0,5*11*2   krokve</t>
  </si>
  <si>
    <t>(0,06+0,2)*2*7,44   přístřešek -vaznice</t>
  </si>
  <si>
    <t>(0,14+0,2)*2*7,5</t>
  </si>
  <si>
    <t>(0,1+0,14)*2*11,76   krokev</t>
  </si>
  <si>
    <t>0,14*4*2,65   sloupek</t>
  </si>
  <si>
    <t>Nátěr truhlářských výrobků impregnační BASF 1x</t>
  </si>
  <si>
    <t>Nátěr tesařských konstrukcí Bochemitem QB Hobby 2x</t>
  </si>
  <si>
    <t>(0,14+0,12)*2*11,01*2   pozedn.</t>
  </si>
  <si>
    <t>0,14*4*4,15*2   sloupek</t>
  </si>
  <si>
    <t>(0,14+0,22)*2*11,01   vaznice</t>
  </si>
  <si>
    <t>(0,12+0,2)*2*114,62   krokev</t>
  </si>
  <si>
    <t>(0,05+0,2)*2*184,8   kleštiny</t>
  </si>
  <si>
    <t>(0,06+0,2)*2*10*2   zarážky</t>
  </si>
  <si>
    <t>Malby</t>
  </si>
  <si>
    <t>Penetrace podkladu nátěrem HET, Klasik, 1 x</t>
  </si>
  <si>
    <t>78,2   II.NP stropy</t>
  </si>
  <si>
    <t>(2,775+2+2,775)*2,63   II.NP stěny 2.01</t>
  </si>
  <si>
    <t>(3,95+1,46+1,46+1,95)*2,63   2,02</t>
  </si>
  <si>
    <t>(1,835+2,64)*2*2,63   2.03</t>
  </si>
  <si>
    <t>(4,95+3,94)*2*2,63   2,05</t>
  </si>
  <si>
    <t>(4,95+3,94)*2*2,63   2.06</t>
  </si>
  <si>
    <t>(3,06+4,215)*2*2,63   2.07</t>
  </si>
  <si>
    <t>74,3   I.NP stropy</t>
  </si>
  <si>
    <t>1,975+1,5)*2*2,7   I.NP stěny 1,01</t>
  </si>
  <si>
    <t>(2,58+2,615)*0,5   1.02</t>
  </si>
  <si>
    <t>(1,93+1,36)*2*2,7   1.03</t>
  </si>
  <si>
    <t>(10,02+3,94)*2*2,7   1.04</t>
  </si>
  <si>
    <t>(3+4,09)*2*2,7   1.05</t>
  </si>
  <si>
    <t>0,885*2,7   1.06</t>
  </si>
  <si>
    <t>1,75*0,885   schod.</t>
  </si>
  <si>
    <t>(1,75+2,7)/2*2,53*2</t>
  </si>
  <si>
    <t>(1,5+1,9)/2*2</t>
  </si>
  <si>
    <t>(1,9+2,45)/2*1,615</t>
  </si>
  <si>
    <t>(4,8+1,36+0,65+1,11+2,15+1,035+1+1,44)*2,7   1.07</t>
  </si>
  <si>
    <t>Malba HET Brillant 100, bílá, bez penetrace, 2x</t>
  </si>
  <si>
    <t>Čalounické úpravy</t>
  </si>
  <si>
    <t>Předokenní roleta,pod omítku, el. pohon, 245x125cm</t>
  </si>
  <si>
    <t>Lešení a stavební výtahy</t>
  </si>
  <si>
    <t>Montáž lešení leh.řad.s podlahami,š.1,2 m, H 10 m</t>
  </si>
  <si>
    <t>(1,2+0,2+10,9+0,2+1,2)*5,5*2</t>
  </si>
  <si>
    <t>(0,2+9,15+0,2)*6,2*2</t>
  </si>
  <si>
    <t>Příplatek za každý měsíc použití lešení k pol.1041</t>
  </si>
  <si>
    <t>Demontáž lešení leh.řad.s podlahami,š.1,2 m,H 10 m</t>
  </si>
  <si>
    <t>Různé dokončovací konstrukce a práce na pozemních stavbách</t>
  </si>
  <si>
    <t>Vyčištění budov o výšce podlaží do 4 m</t>
  </si>
  <si>
    <t>10,9*9,15*2</t>
  </si>
  <si>
    <t>Autonomní hlásič kouře dod.+mont. pod strop</t>
  </si>
  <si>
    <t>Přenosný hasicí přístroj 34A , dodávka+mont.</t>
  </si>
  <si>
    <t>Budovy občanské výstavby</t>
  </si>
  <si>
    <t>Přesun hmot pro budovy zděné výšky do 12 m</t>
  </si>
  <si>
    <t>Elektromontáže</t>
  </si>
  <si>
    <t>Vedení uzemňovací v zemi FeZn do 120 mm2</t>
  </si>
  <si>
    <t>(8,35+10,1)*2*1,05   vč. pásku 30/4</t>
  </si>
  <si>
    <t>Vedení uzemňovací v zemi FeZn, D 8 - 10 mm</t>
  </si>
  <si>
    <t>2,8*4</t>
  </si>
  <si>
    <t>Nátěr zemnícího pásku do 120 mm2</t>
  </si>
  <si>
    <t>Svorka hromosvodová nad 2 šrouby /ST, SJ, SR, atd/</t>
  </si>
  <si>
    <t>Garáž</t>
  </si>
  <si>
    <t>(1,75+2+0,5)*0,5*0,45</t>
  </si>
  <si>
    <t>(1,5+0,5)*0,5*</t>
  </si>
  <si>
    <t>(1,5+0,5)*0,5*0,55</t>
  </si>
  <si>
    <t>(1,6+3+0,5)*0,5*0,45</t>
  </si>
  <si>
    <t>(1,95+2,1)*0,5*0,55</t>
  </si>
  <si>
    <t>(0,5+1,5)*0,5*0,5</t>
  </si>
  <si>
    <t>(0,5+3,2+3+0,5)*0,5*0,65</t>
  </si>
  <si>
    <t>(1,75+2)*0,5*0,7</t>
  </si>
  <si>
    <t>0,5*0,5*0,77</t>
  </si>
  <si>
    <t>1,5*0,50,7</t>
  </si>
  <si>
    <t>0,5*0,5*0,95</t>
  </si>
  <si>
    <t>(1,6+3)*0,5*0,7</t>
  </si>
  <si>
    <t>(2,1+2)*0,5*0,7</t>
  </si>
  <si>
    <t>1,5*0,5*0,7</t>
  </si>
  <si>
    <t>(2+3,7)*0,5*0,73</t>
  </si>
  <si>
    <t>14,3</t>
  </si>
  <si>
    <t>Zdivo základové z bednicích tvárnic, tl. 30 cm</t>
  </si>
  <si>
    <t>(1,65+2,2)*1</t>
  </si>
  <si>
    <t>0,5*0,75</t>
  </si>
  <si>
    <t>1,5*0,75</t>
  </si>
  <si>
    <t>0,5*0,5</t>
  </si>
  <si>
    <t>(2,0+2,6)*0,5</t>
  </si>
  <si>
    <t>(2+2,1)*0,75</t>
  </si>
  <si>
    <t>1,5*1</t>
  </si>
  <si>
    <t>0,5*1</t>
  </si>
  <si>
    <t>(2,5+3,3)*1,25</t>
  </si>
  <si>
    <t>6,4*5,15*1,15</t>
  </si>
  <si>
    <t>-15</t>
  </si>
  <si>
    <t>Polštář základu z kameniva hr. drceného 16-63 mm</t>
  </si>
  <si>
    <t>7*5,75*0,12</t>
  </si>
  <si>
    <t>7*5,75*0,0044*2*1,08</t>
  </si>
  <si>
    <t>(7+5,75)*2*0,15</t>
  </si>
  <si>
    <t>Příplatek za stržení povrchu mazaniny tl. 12 cm</t>
  </si>
  <si>
    <t>Sendwix P, zdivo tl. 240 mm</t>
  </si>
  <si>
    <t>(7+5,51)*2*2,75</t>
  </si>
  <si>
    <t>-1,5*0,75</t>
  </si>
  <si>
    <t>-1*2,2</t>
  </si>
  <si>
    <t>-3*2,65</t>
  </si>
  <si>
    <t>Překlad Sendwix tl. zdiva 240 mm, délka 2000 mm</t>
  </si>
  <si>
    <t>Překlad Sendwix tl. zdiva 240 mm, délka 1500 mm</t>
  </si>
  <si>
    <t>Izolace perimetr.deskami tl.5 cm, nopová fólie</t>
  </si>
  <si>
    <t>Příčky z tvárnic vápenopís.Silka S20-2000 tl.175mm</t>
  </si>
  <si>
    <t>(7+5,4)*2*0,25   atika</t>
  </si>
  <si>
    <t>Dod.+montáž stropní panely PARTEK tl.200mm (126 m2)</t>
  </si>
  <si>
    <t>(7*0,25*0,24*2)</t>
  </si>
  <si>
    <t>5,51*0,24*0,25*2</t>
  </si>
  <si>
    <t>(7+5,51)*2</t>
  </si>
  <si>
    <t>(7+5,75)*2*4*0,000617*1,08</t>
  </si>
  <si>
    <t>0,035   tř.</t>
  </si>
  <si>
    <t>0,044   zesílení-překlad</t>
  </si>
  <si>
    <t>(7+5,75)*2*0,25   dobetonávka stropů</t>
  </si>
  <si>
    <t>5,75*0,3*0,2*2   dobetonávka stropů</t>
  </si>
  <si>
    <t>6,52*0,14*0,2*2</t>
  </si>
  <si>
    <t>6,52*5,51</t>
  </si>
  <si>
    <t>(6,52+5,51)*2*0,3   překrytí věnců</t>
  </si>
  <si>
    <t>(6,52+5,51)*2*3</t>
  </si>
  <si>
    <t>(0,75+1,5+0,75)*0,16</t>
  </si>
  <si>
    <t>(2,2+1+2,2)*0,1</t>
  </si>
  <si>
    <t>Zateplovací systém Baumit, sokl, XPS tl. 50 mm</t>
  </si>
  <si>
    <t>(0,65+1,2)/2*7   V s mozaikovou omítkou</t>
  </si>
  <si>
    <t>5,75*0,37   S</t>
  </si>
  <si>
    <t>5,6*0,4   Z</t>
  </si>
  <si>
    <t>5,75*0,5   překrytí věnců S</t>
  </si>
  <si>
    <t>Omítka stěn jádrová PROFI MZ2, strojně</t>
  </si>
  <si>
    <t>5,75*3,62   S</t>
  </si>
  <si>
    <t>(0,75+1,5+0,75)*0,1   ostění</t>
  </si>
  <si>
    <t>(2,65+3+2,65)*0,24   ostění vrat</t>
  </si>
  <si>
    <t>Omítka stěn tenkovrstvá minerální bílá</t>
  </si>
  <si>
    <t>Podkladní nátěr stěn pod šlechtěné omítky Knauf</t>
  </si>
  <si>
    <t>Doplňky zatepl. systémů, okenní lišta s tkaninou</t>
  </si>
  <si>
    <t>1,5+0,75+0,75</t>
  </si>
  <si>
    <t>2,2+1+2,2</t>
  </si>
  <si>
    <t>2,65+3+2,65</t>
  </si>
  <si>
    <t>Mazanina betonová tl. 8 - 12 cm C 20/25</t>
  </si>
  <si>
    <t>6,52*5,51*0,1   strojně hlazená</t>
  </si>
  <si>
    <t>3*0,24*0,1</t>
  </si>
  <si>
    <t>36,6*0,0044*1,08</t>
  </si>
  <si>
    <t>Příplatek za konečnou úpravu mazanin tl. 12 cm</t>
  </si>
  <si>
    <t>Násyp  z kačírku 0 - 32,  zpevňující</t>
  </si>
  <si>
    <t>6,52*5,51*0,05</t>
  </si>
  <si>
    <t>1,8*1,83</t>
  </si>
  <si>
    <t>7*5,75</t>
  </si>
  <si>
    <t>40,25   vč- Glastek s.m.</t>
  </si>
  <si>
    <t>40,25*1,1</t>
  </si>
  <si>
    <t>Přesun hmot pro izolace proti vodě, výšky do 6 m</t>
  </si>
  <si>
    <t>6,52*5,51   vč. folie Fatrafol 1,5mm</t>
  </si>
  <si>
    <t>6,52*0,45   boky</t>
  </si>
  <si>
    <t>(0,45+0,55)/2*5,52*2</t>
  </si>
  <si>
    <t>6,52*0,55</t>
  </si>
  <si>
    <t>7+7</t>
  </si>
  <si>
    <t>5,52*2</t>
  </si>
  <si>
    <t>Rohová lišta vnitřní VIPLANYL RŠ 100 mm</t>
  </si>
  <si>
    <t>0,5*4</t>
  </si>
  <si>
    <t>Pásek VIPLANYL RŠ 50 mm</t>
  </si>
  <si>
    <t>Atiková propust s mřížkou a manžetou z PVC</t>
  </si>
  <si>
    <t>Povlaková krytina střech do 10°, podklad. textilie</t>
  </si>
  <si>
    <t>Povlaková krytina střech do 10°, ochran. textilie</t>
  </si>
  <si>
    <t>35,93*1,05</t>
  </si>
  <si>
    <t>Přesun hmot pro povlakové krytiny, výšky do 6 m</t>
  </si>
  <si>
    <t>Izolace tepelná střech, desky, na lepidlo PUK</t>
  </si>
  <si>
    <t>5,51*6,52</t>
  </si>
  <si>
    <t>(0,02+0,12)/2*35,93*1,05</t>
  </si>
  <si>
    <t>Přesun hmot pro izolace tepelné, výšky do 6 m</t>
  </si>
  <si>
    <t>Montáž obložení atiky,OSB desky,1vrst.,hmoždinkami</t>
  </si>
  <si>
    <t>(7+5,51)*2*0,25   vč. OSB ECO 22</t>
  </si>
  <si>
    <t>Lindab, oplechování parapetů, rš 200 mm, enkolit</t>
  </si>
  <si>
    <t>1,5</t>
  </si>
  <si>
    <t>D+M Garážová vrata HORMANN 300/265 +DO, el. pohon,sekční</t>
  </si>
  <si>
    <t>(7+5,75+7)*3,35   vč. palubek, roštu, nátěr 2x</t>
  </si>
  <si>
    <t>-3*2,57</t>
  </si>
  <si>
    <t>-1*2,1</t>
  </si>
  <si>
    <t>Montáž dveří vchodových plast.</t>
  </si>
  <si>
    <t>Okno plastové jednokřídlé 150 x 75 cm OS</t>
  </si>
  <si>
    <t>Dveře vchodové plast ROPLASTO 1000x2200 otevíravé</t>
  </si>
  <si>
    <t>D+M větr. mřížka plast D 150</t>
  </si>
  <si>
    <t>Výroba a montáž kov. atypických konstr. do 50 kg</t>
  </si>
  <si>
    <t>35   nájezdový úhelník</t>
  </si>
  <si>
    <t>Úhelník rovnoramenný L jakost S235   80x 80x 8 mm</t>
  </si>
  <si>
    <t>0,0096*3*1,08</t>
  </si>
  <si>
    <t>Tyč ocelová plochá jakost S355  35x8 mm</t>
  </si>
  <si>
    <t>0,00137*0,2*9*1,08</t>
  </si>
  <si>
    <t>Podlahy ze syntetických hmot</t>
  </si>
  <si>
    <t>Podlaha Sikafloor Level T, tl. 3 mm, těžký provoz</t>
  </si>
  <si>
    <t>(6,52+5,51)*2*0,15</t>
  </si>
  <si>
    <t>-3*0,15</t>
  </si>
  <si>
    <t>(6,52+5,51)*2*2,9</t>
  </si>
  <si>
    <t>Malba HET Klasik, barva, bez penetrace, 2 x</t>
  </si>
  <si>
    <t>Vyčištění ostatních objektů</t>
  </si>
  <si>
    <t>Osazení kovových předmětů do betonu, 30 kg / kus</t>
  </si>
  <si>
    <t>1   ochranný úhelník vrata</t>
  </si>
  <si>
    <t>Přesun hmot pro budovy zděné výšky do 6 m</t>
  </si>
  <si>
    <t>Opěrná zeď</t>
  </si>
  <si>
    <t>(13,4+5,3)*0,4*1   základ zdi</t>
  </si>
  <si>
    <t>11,22   zpětný zásyp za zdí</t>
  </si>
  <si>
    <t>-7,48</t>
  </si>
  <si>
    <t>21,62*0,15   ornice</t>
  </si>
  <si>
    <t>Vodorovné přemístění výkopku z hor.1-4 do 50 m</t>
  </si>
  <si>
    <t>Zásyp jam, rýh, šachet se zhutněním</t>
  </si>
  <si>
    <t>(13,4+5,3)*0,8*0,75</t>
  </si>
  <si>
    <t>Přisypání těsnicí fólie v rovině</t>
  </si>
  <si>
    <t>Povrchové úpravy terénu</t>
  </si>
  <si>
    <t>Rozprostření ornice, rovina, tl. 15-20 cm,do 500m2</t>
  </si>
  <si>
    <t>(13,4+5,4)*1,15</t>
  </si>
  <si>
    <t>(13,4+5,3)*0,4*1</t>
  </si>
  <si>
    <t>Výztuž nadzáklad. zdí z betonářské oceli 10505 (R)</t>
  </si>
  <si>
    <t>Zdivo plotové z tvárnic, betonová zálivka, tl.190</t>
  </si>
  <si>
    <t>(13,4+5,5)*1,25</t>
  </si>
  <si>
    <t>Stříška plotu ze zákrytových desek, šířka 300 mm</t>
  </si>
  <si>
    <t>13,4+5,5</t>
  </si>
  <si>
    <t>Montáž nopové fólie svisle</t>
  </si>
  <si>
    <t>(13,4+5,75)*1,15</t>
  </si>
  <si>
    <t>Objekty pozemní zvláštní</t>
  </si>
  <si>
    <t>Přesun hmot, zdi a valy samostatné z dílců do 20 m</t>
  </si>
  <si>
    <t>Zpevněné plochy</t>
  </si>
  <si>
    <t>(62,02+59,33)*0,15</t>
  </si>
  <si>
    <t>Úprava pláně v zářezech v hor. 1-4, se zhutněním</t>
  </si>
  <si>
    <t>62,02</t>
  </si>
  <si>
    <t>59,33</t>
  </si>
  <si>
    <t>Podkladní vrstvy komunikací a zpevněných ploch</t>
  </si>
  <si>
    <t>Podklad z kameniva drceného vel.32-63 mm,tl. 20 cm</t>
  </si>
  <si>
    <t>Podklad ze štěrkodrti po zhutnění tloušťky 10 cm</t>
  </si>
  <si>
    <t>56,38*1,1</t>
  </si>
  <si>
    <t>Podklad ze štěrkopísku po zhutnění tloušťky 10 cm</t>
  </si>
  <si>
    <t>53,94*1,1</t>
  </si>
  <si>
    <t>Podklad z kam.drceného 32-63 s výplň.kamen. 25 cm</t>
  </si>
  <si>
    <t>Podklad z kameniva drceného vel.8-16 mm,tl. 8 cm</t>
  </si>
  <si>
    <t>53,94</t>
  </si>
  <si>
    <t>Dlažby a předlažby pozemních komunikací a zpevněných ploch</t>
  </si>
  <si>
    <t>Kladení zámkové dlažby tl. 6 cm do drtě tl. 4 cm</t>
  </si>
  <si>
    <t>6,74*1,15</t>
  </si>
  <si>
    <t>(1,15+1,84)/2*5,2</t>
  </si>
  <si>
    <t>(0,95+9,15)*0,75</t>
  </si>
  <si>
    <t>7,25*0,9</t>
  </si>
  <si>
    <t>5,5*3,2</t>
  </si>
  <si>
    <t>1*9,15</t>
  </si>
  <si>
    <t>Dlažba BEST - ALTEA povrch STANDARD</t>
  </si>
  <si>
    <t>56,38*1,05</t>
  </si>
  <si>
    <t>Kladení zámkové dlažby tl. 8 cm do drtě tl. 4 cm</t>
  </si>
  <si>
    <t>5,1*4,7   pojezdová plocha</t>
  </si>
  <si>
    <t>5,4*0,8</t>
  </si>
  <si>
    <t>(5,1+4,4)/2*5,4</t>
  </si>
  <si>
    <t>53,94*1,05</t>
  </si>
  <si>
    <t>Doplňující konstrukce a práce na pozemních komunikacích a zpevněných plochách</t>
  </si>
  <si>
    <t>Osazení záhon.obrubníků do lože z C 12/15 s opěrou</t>
  </si>
  <si>
    <t>1,84+0,8+9,15+1   přístup. chodníky</t>
  </si>
  <si>
    <t>0,8+6,5+3,2</t>
  </si>
  <si>
    <t>Osazení park. obrubníků do lože z C 12/15 s opěrou</t>
  </si>
  <si>
    <t>1,7+3,2</t>
  </si>
  <si>
    <t>4,7+0,3</t>
  </si>
  <si>
    <t>5,4   konec ZP u brány</t>
  </si>
  <si>
    <t>Komunikace pozemní a letiště</t>
  </si>
  <si>
    <t>Přesun hmot, pozemní komunikace, kryt dlážděný</t>
  </si>
  <si>
    <t>Oplocení</t>
  </si>
  <si>
    <t>Ruční výkop jam, rýh a šachet v hornině tř. 3</t>
  </si>
  <si>
    <t>0,3*0,3*0,9*11   patky pro sloupky</t>
  </si>
  <si>
    <t>0,4*0,4*0,95   patka sloupku vrátek</t>
  </si>
  <si>
    <t>(2,16+2,16+2,83)*0,5*0,9   oplocení u komunikace</t>
  </si>
  <si>
    <t>(2,61+2,56)*0,5*0,9</t>
  </si>
  <si>
    <t>Beton základových patek prostý C 16/20</t>
  </si>
  <si>
    <t>0,4*0,4*0,95</t>
  </si>
  <si>
    <t>Osazení beton. podhrabové desky do ZN držáků</t>
  </si>
  <si>
    <t>Bednění nadzákl. zdí oboustranné přesné - zřízení</t>
  </si>
  <si>
    <t>7,15*0,6*2</t>
  </si>
  <si>
    <t>5,17*(0,55+1,05)/2*2</t>
  </si>
  <si>
    <t>Bednění nadzákl. zdí oboustranné přesné - odstr.</t>
  </si>
  <si>
    <t>Výztuž nadzákladových zdí ze svařovaných sítí</t>
  </si>
  <si>
    <t>16,6*0,0044*2*1,08   vč. sí´tovina D6, oka 100/100-2x</t>
  </si>
  <si>
    <t>Železobeton nadzákladových zdí pohledový C 20/25</t>
  </si>
  <si>
    <t>16,82/2*0,2</t>
  </si>
  <si>
    <t>Sloupy a pilíře, stožáry a rámové stojky</t>
  </si>
  <si>
    <t>Osazení sloupků plot.ocel. do 2,6 m, zabet.C 25/30</t>
  </si>
  <si>
    <t>Beton sloupů a pilířů železový C 20/25 pohledový</t>
  </si>
  <si>
    <t>0,4*0,2*1,37   vč. dod. a uložení výztuže</t>
  </si>
  <si>
    <t>0,4*0,2*1,1*3</t>
  </si>
  <si>
    <t>Bednění sloupů čtyřúhelníkového průřezu - zřízení-přesné</t>
  </si>
  <si>
    <t>(0,4+0,2)*2*1,37</t>
  </si>
  <si>
    <t>(0,4+0,2)*1,1*5</t>
  </si>
  <si>
    <t>Bednění sloupů čtyřúhelníkového průřezu-odstranění</t>
  </si>
  <si>
    <t>Osazení sloupků plot.ocel.do 2 m,do šachet, zabet</t>
  </si>
  <si>
    <t>3   sloupky vrátek+brány</t>
  </si>
  <si>
    <t>Montáž oplocení rámového H do 1,5 ()svař. panely)</t>
  </si>
  <si>
    <t>Panel plotový 3D zelený 2500/1530</t>
  </si>
  <si>
    <t>Sloupek plotový 3D  60/60/2000 zelený</t>
  </si>
  <si>
    <t>Úchyt pro panel oplocení zinkov.</t>
  </si>
  <si>
    <t>Úchyt pro podhr. desku v.300 zinkov.</t>
  </si>
  <si>
    <t>Montáž oplocení rámového H do 1,0 m</t>
  </si>
  <si>
    <t>Vrata vjezdová atyp. šikmá 410/156, pojezdová,dřev. výplň</t>
  </si>
  <si>
    <t>Komponenty pojezdu vč.C profilu</t>
  </si>
  <si>
    <t>El.pohon Linea Matic do 500kg</t>
  </si>
  <si>
    <t>Přesun hmot pro zámečnické konstr., výšky do 6 m</t>
  </si>
  <si>
    <t>Úprava pro schránku a el.ovládání vrat a vrátek</t>
  </si>
  <si>
    <t>D+M kotevní úchyt pro osazení rámků oploc. pozink.</t>
  </si>
  <si>
    <t>Přesun hmot, oplocení, zvláštní obj. monol. do 3 m</t>
  </si>
  <si>
    <t>Přípojka elektro</t>
  </si>
  <si>
    <t>Dodávka a mont.zvonkové tablo</t>
  </si>
  <si>
    <t>Kabelová přípojka k ovládání pojezdu vrat,+zvonk. tablo</t>
  </si>
  <si>
    <t>Vybavení skříně HDS</t>
  </si>
  <si>
    <t>Přípojka elektro v zemi pro rodinné domy</t>
  </si>
  <si>
    <t>1,5+10+4,4+3</t>
  </si>
  <si>
    <t>Přípojka plynu</t>
  </si>
  <si>
    <t>Potrubí z trub plastických,</t>
  </si>
  <si>
    <t>Plynovodní přípojka t trubek PE D32 s napojením na plynovod</t>
  </si>
  <si>
    <t>Venkovní vodovod</t>
  </si>
  <si>
    <t>Přípojka vody s napojením na stáv. VŠ.</t>
  </si>
  <si>
    <t>Venkovní splašková kanalizace</t>
  </si>
  <si>
    <t>Přípojka kanalizace,-propojení na stáv.šachtu</t>
  </si>
  <si>
    <t>Venkovní dešťová kanalizace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</si>
  <si>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</si>
  <si>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</si>
  <si>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</si>
  <si>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</si>
  <si>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</si>
  <si>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</si>
  <si>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</si>
  <si>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kus</t>
  </si>
  <si>
    <t>t</t>
  </si>
  <si>
    <t>m</t>
  </si>
  <si>
    <t>ks</t>
  </si>
  <si>
    <t>kompl</t>
  </si>
  <si>
    <t>soubor</t>
  </si>
  <si>
    <t>sada</t>
  </si>
  <si>
    <t>%</t>
  </si>
  <si>
    <t>kg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</si>
  <si>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</si>
  <si>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</si>
  <si>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</si>
  <si>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</si>
  <si>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</si>
  <si>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</si>
  <si>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</si>
  <si>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</si>
  <si>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</si>
  <si>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</si>
  <si>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</si>
  <si>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Manž.Drábkovi,Běchovice, Praha 9</t>
  </si>
  <si>
    <t>R.Šípek</t>
  </si>
  <si>
    <t>Celkem</t>
  </si>
  <si>
    <t>Hmotnost (t)</t>
  </si>
  <si>
    <t>Cenová</t>
  </si>
  <si>
    <t>soustava</t>
  </si>
  <si>
    <t>RTS II / 2016</t>
  </si>
  <si>
    <t>RTS I / 2014</t>
  </si>
  <si>
    <t>RTS I / 2015</t>
  </si>
  <si>
    <t>RTS I / 2016</t>
  </si>
  <si>
    <t>RTS II / 2015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</si>
  <si>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</si>
  <si>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</si>
  <si>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</si>
  <si>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</si>
  <si>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</si>
  <si>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</si>
  <si>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</si>
  <si>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</si>
  <si>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</si>
  <si>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12_</t>
  </si>
  <si>
    <t>13_</t>
  </si>
  <si>
    <t>16_</t>
  </si>
  <si>
    <t>17_</t>
  </si>
  <si>
    <t>27_</t>
  </si>
  <si>
    <t>31_</t>
  </si>
  <si>
    <t>34_</t>
  </si>
  <si>
    <t>41_</t>
  </si>
  <si>
    <t>43_</t>
  </si>
  <si>
    <t>61_</t>
  </si>
  <si>
    <t>62_</t>
  </si>
  <si>
    <t>63_</t>
  </si>
  <si>
    <t>64_</t>
  </si>
  <si>
    <t>711_</t>
  </si>
  <si>
    <t>712_</t>
  </si>
  <si>
    <t>713_</t>
  </si>
  <si>
    <t>721_</t>
  </si>
  <si>
    <t>722_</t>
  </si>
  <si>
    <t>731_</t>
  </si>
  <si>
    <t>75_</t>
  </si>
  <si>
    <t>762_</t>
  </si>
  <si>
    <t>764_</t>
  </si>
  <si>
    <t>765_</t>
  </si>
  <si>
    <t>766_</t>
  </si>
  <si>
    <t>767_</t>
  </si>
  <si>
    <t>771_</t>
  </si>
  <si>
    <t>775_</t>
  </si>
  <si>
    <t>776_</t>
  </si>
  <si>
    <t>781_</t>
  </si>
  <si>
    <t>783_</t>
  </si>
  <si>
    <t>784_</t>
  </si>
  <si>
    <t>786_</t>
  </si>
  <si>
    <t>94_</t>
  </si>
  <si>
    <t>95_</t>
  </si>
  <si>
    <t>H01_</t>
  </si>
  <si>
    <t>M21_</t>
  </si>
  <si>
    <t>777_</t>
  </si>
  <si>
    <t>18_</t>
  </si>
  <si>
    <t>H15_</t>
  </si>
  <si>
    <t>56_</t>
  </si>
  <si>
    <t>59_</t>
  </si>
  <si>
    <t>91_</t>
  </si>
  <si>
    <t>H22_</t>
  </si>
  <si>
    <t>33_</t>
  </si>
  <si>
    <t>87_</t>
  </si>
  <si>
    <t>01_1_</t>
  </si>
  <si>
    <t>01_2_</t>
  </si>
  <si>
    <t>01_3_</t>
  </si>
  <si>
    <t>01_4_</t>
  </si>
  <si>
    <t>01_6_</t>
  </si>
  <si>
    <t>01_71_</t>
  </si>
  <si>
    <t>01_72_</t>
  </si>
  <si>
    <t>01_73_</t>
  </si>
  <si>
    <t>01_75_</t>
  </si>
  <si>
    <t>01_76_</t>
  </si>
  <si>
    <t>01_77_</t>
  </si>
  <si>
    <t>01_78_</t>
  </si>
  <si>
    <t>01_9_</t>
  </si>
  <si>
    <t>02_1_</t>
  </si>
  <si>
    <t>02_2_</t>
  </si>
  <si>
    <t>02_3_</t>
  </si>
  <si>
    <t>02_4_</t>
  </si>
  <si>
    <t>02_6_</t>
  </si>
  <si>
    <t>02_71_</t>
  </si>
  <si>
    <t>02_75_</t>
  </si>
  <si>
    <t>02_76_</t>
  </si>
  <si>
    <t>02_77_</t>
  </si>
  <si>
    <t>02_78_</t>
  </si>
  <si>
    <t>02_9_</t>
  </si>
  <si>
    <t>03_1_</t>
  </si>
  <si>
    <t>03_2_</t>
  </si>
  <si>
    <t>03_3_</t>
  </si>
  <si>
    <t>03_71_</t>
  </si>
  <si>
    <t>03_9_</t>
  </si>
  <si>
    <t>04_1_</t>
  </si>
  <si>
    <t>04_5_</t>
  </si>
  <si>
    <t>04_9_</t>
  </si>
  <si>
    <t>05_1_</t>
  </si>
  <si>
    <t>05_2_</t>
  </si>
  <si>
    <t>05_3_</t>
  </si>
  <si>
    <t>05_76_</t>
  </si>
  <si>
    <t>05_9_</t>
  </si>
  <si>
    <t>06_75_</t>
  </si>
  <si>
    <t>06_9_</t>
  </si>
  <si>
    <t>07_8_</t>
  </si>
  <si>
    <t>08_8_</t>
  </si>
  <si>
    <t>09_8_</t>
  </si>
  <si>
    <t>10_8_</t>
  </si>
  <si>
    <t>01_</t>
  </si>
  <si>
    <t>02_</t>
  </si>
  <si>
    <t>03_</t>
  </si>
  <si>
    <t>04_</t>
  </si>
  <si>
    <t>05_</t>
  </si>
  <si>
    <t>06_</t>
  </si>
  <si>
    <t>07_</t>
  </si>
  <si>
    <t>08_</t>
  </si>
  <si>
    <t>09_</t>
  </si>
  <si>
    <t>10_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</si>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</sst>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3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15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5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6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9" fontId="11" fillId="34" borderId="18" xfId="0" applyNumberFormat="1" applyFont="1" applyFill="1" applyBorder="1" applyAlignment="1" applyProtection="1">
      <alignment horizontal="center" vertical="center"/>
      <protection/>
    </xf>
    <xf numFmtId="49" fontId="12" fillId="0" borderId="19" xfId="0" applyNumberFormat="1" applyFont="1" applyFill="1" applyBorder="1" applyAlignment="1" applyProtection="1">
      <alignment horizontal="left" vertical="center"/>
      <protection/>
    </xf>
    <xf numFmtId="49" fontId="12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3" fillId="0" borderId="18" xfId="0" applyNumberFormat="1" applyFont="1" applyFill="1" applyBorder="1" applyAlignment="1" applyProtection="1">
      <alignment horizontal="right" vertical="center"/>
      <protection/>
    </xf>
    <xf numFmtId="49" fontId="13" fillId="0" borderId="18" xfId="0" applyNumberFormat="1" applyFont="1" applyFill="1" applyBorder="1" applyAlignment="1" applyProtection="1">
      <alignment horizontal="right" vertical="center"/>
      <protection/>
    </xf>
    <xf numFmtId="4" fontId="13" fillId="0" borderId="25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2" fillId="34" borderId="29" xfId="0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14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0" fillId="0" borderId="38" xfId="0" applyNumberFormat="1" applyFont="1" applyFill="1" applyBorder="1" applyAlignment="1" applyProtection="1">
      <alignment horizontal="center" vertical="center"/>
      <protection/>
    </xf>
    <xf numFmtId="0" fontId="10" fillId="0" borderId="38" xfId="0" applyNumberFormat="1" applyFont="1" applyFill="1" applyBorder="1" applyAlignment="1" applyProtection="1">
      <alignment horizontal="center" vertical="center"/>
      <protection/>
    </xf>
    <xf numFmtId="49" fontId="14" fillId="0" borderId="28" xfId="0" applyNumberFormat="1" applyFont="1" applyFill="1" applyBorder="1" applyAlignment="1" applyProtection="1">
      <alignment horizontal="left" vertical="center"/>
      <protection/>
    </xf>
    <xf numFmtId="0" fontId="14" fillId="0" borderId="29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29" xfId="0" applyNumberFormat="1" applyFont="1" applyFill="1" applyBorder="1" applyAlignment="1" applyProtection="1">
      <alignment horizontal="left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49" fontId="12" fillId="34" borderId="28" xfId="0" applyNumberFormat="1" applyFont="1" applyFill="1" applyBorder="1" applyAlignment="1" applyProtection="1">
      <alignment horizontal="left" vertical="center"/>
      <protection/>
    </xf>
    <xf numFmtId="0" fontId="12" fillId="34" borderId="38" xfId="0" applyNumberFormat="1" applyFont="1" applyFill="1" applyBorder="1" applyAlignment="1" applyProtection="1">
      <alignment horizontal="left" vertical="center"/>
      <protection/>
    </xf>
    <xf numFmtId="49" fontId="13" fillId="0" borderId="39" xfId="0" applyNumberFormat="1" applyFont="1" applyFill="1" applyBorder="1" applyAlignment="1" applyProtection="1">
      <alignment horizontal="left" vertical="center"/>
      <protection/>
    </xf>
    <xf numFmtId="0" fontId="13" fillId="0" borderId="22" xfId="0" applyNumberFormat="1" applyFont="1" applyFill="1" applyBorder="1" applyAlignment="1" applyProtection="1">
      <alignment horizontal="left" vertical="center"/>
      <protection/>
    </xf>
    <xf numFmtId="0" fontId="13" fillId="0" borderId="40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41" xfId="0" applyNumberFormat="1" applyFont="1" applyFill="1" applyBorder="1" applyAlignment="1" applyProtection="1">
      <alignment horizontal="left" vertical="center"/>
      <protection/>
    </xf>
    <xf numFmtId="49" fontId="13" fillId="0" borderId="42" xfId="0" applyNumberFormat="1" applyFont="1" applyFill="1" applyBorder="1" applyAlignment="1" applyProtection="1">
      <alignment horizontal="left" vertical="center"/>
      <protection/>
    </xf>
    <xf numFmtId="0" fontId="13" fillId="0" borderId="32" xfId="0" applyNumberFormat="1" applyFont="1" applyFill="1" applyBorder="1" applyAlignment="1" applyProtection="1">
      <alignment horizontal="left" vertical="center"/>
      <protection/>
    </xf>
    <xf numFmtId="0" fontId="13" fillId="0" borderId="43" xfId="0" applyNumberFormat="1" applyFont="1" applyFill="1" applyBorder="1" applyAlignment="1" applyProtection="1">
      <alignment horizontal="left" vertical="center"/>
      <protection/>
    </xf>
    <xf numFmtId="49" fontId="1" fillId="0" borderId="44" xfId="0" applyNumberFormat="1" applyFont="1" applyFill="1" applyBorder="1" applyAlignment="1" applyProtection="1">
      <alignment horizontal="left" vertical="center"/>
      <protection/>
    </xf>
    <xf numFmtId="49" fontId="1" fillId="0" borderId="45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49" xfId="0" applyNumberFormat="1" applyFont="1" applyFill="1" applyBorder="1" applyAlignment="1" applyProtection="1">
      <alignment horizontal="center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9" fontId="8" fillId="33" borderId="18" xfId="0" applyNumberFormat="1" applyFont="1" applyFill="1" applyBorder="1" applyAlignment="1" applyProtection="1">
      <alignment horizontal="right" vertical="center"/>
      <protection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49" fontId="5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8" xfId="0" applyFont="1" applyBorder="1" applyAlignment="1">
      <alignment vertical="center"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51" fillId="35" borderId="18" xfId="0" applyNumberFormat="1" applyFont="1" applyFill="1" applyBorder="1" applyAlignment="1" applyProtection="1">
      <alignment horizontal="left" vertical="center"/>
      <protection/>
    </xf>
    <xf numFmtId="49" fontId="52" fillId="35" borderId="18" xfId="0" applyNumberFormat="1" applyFont="1" applyFill="1" applyBorder="1" applyAlignment="1" applyProtection="1">
      <alignment horizontal="left" vertical="center"/>
      <protection/>
    </xf>
    <xf numFmtId="49" fontId="52" fillId="35" borderId="18" xfId="0" applyNumberFormat="1" applyFont="1" applyFill="1" applyBorder="1" applyAlignment="1" applyProtection="1">
      <alignment horizontal="left" vertical="center"/>
      <protection/>
    </xf>
    <xf numFmtId="0" fontId="52" fillId="35" borderId="18" xfId="0" applyNumberFormat="1" applyFont="1" applyFill="1" applyBorder="1" applyAlignment="1" applyProtection="1">
      <alignment horizontal="left" vertical="center"/>
      <protection/>
    </xf>
    <xf numFmtId="4" fontId="52" fillId="35" borderId="18" xfId="0" applyNumberFormat="1" applyFont="1" applyFill="1" applyBorder="1" applyAlignment="1" applyProtection="1">
      <alignment horizontal="right" vertical="center"/>
      <protection/>
    </xf>
    <xf numFmtId="49" fontId="52" fillId="35" borderId="18" xfId="0" applyNumberFormat="1" applyFont="1" applyFill="1" applyBorder="1" applyAlignment="1" applyProtection="1">
      <alignment horizontal="right" vertical="center"/>
      <protection/>
    </xf>
    <xf numFmtId="0" fontId="51" fillId="0" borderId="0" xfId="0" applyFont="1" applyAlignment="1">
      <alignment vertical="center"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51" fillId="0" borderId="18" xfId="0" applyNumberFormat="1" applyFont="1" applyFill="1" applyBorder="1" applyAlignment="1" applyProtection="1">
      <alignment horizontal="left" vertical="center"/>
      <protection/>
    </xf>
    <xf numFmtId="4" fontId="51" fillId="0" borderId="18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8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87"/>
  <sheetViews>
    <sheetView zoomScalePageLayoutView="0" workbookViewId="0" topLeftCell="A1060">
      <selection activeCell="A1082" sqref="A1082:M1082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1.00390625" style="0" customWidth="1"/>
    <col min="5" max="5" width="7.003906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ht="12.75">
      <c r="A2" s="37" t="s">
        <v>1</v>
      </c>
      <c r="B2" s="38"/>
      <c r="C2" s="38"/>
      <c r="D2" s="41" t="s">
        <v>768</v>
      </c>
      <c r="E2" s="43" t="s">
        <v>1634</v>
      </c>
      <c r="F2" s="38"/>
      <c r="G2" s="43"/>
      <c r="H2" s="38"/>
      <c r="I2" s="44" t="s">
        <v>1656</v>
      </c>
      <c r="J2" s="44" t="s">
        <v>1661</v>
      </c>
      <c r="K2" s="38"/>
      <c r="L2" s="38"/>
      <c r="M2" s="45"/>
      <c r="N2" s="12"/>
    </row>
    <row r="3" spans="1:14" ht="12.75">
      <c r="A3" s="39"/>
      <c r="B3" s="40"/>
      <c r="C3" s="40"/>
      <c r="D3" s="42"/>
      <c r="E3" s="40"/>
      <c r="F3" s="40"/>
      <c r="G3" s="40"/>
      <c r="H3" s="40"/>
      <c r="I3" s="40"/>
      <c r="J3" s="40"/>
      <c r="K3" s="40"/>
      <c r="L3" s="40"/>
      <c r="M3" s="46"/>
      <c r="N3" s="12"/>
    </row>
    <row r="4" spans="1:14" ht="12.75">
      <c r="A4" s="47" t="s">
        <v>2</v>
      </c>
      <c r="B4" s="40"/>
      <c r="C4" s="40"/>
      <c r="D4" s="48" t="s">
        <v>769</v>
      </c>
      <c r="E4" s="49" t="s">
        <v>1635</v>
      </c>
      <c r="F4" s="40"/>
      <c r="G4" s="49" t="s">
        <v>6</v>
      </c>
      <c r="H4" s="40"/>
      <c r="I4" s="48" t="s">
        <v>1657</v>
      </c>
      <c r="J4" s="48"/>
      <c r="K4" s="40"/>
      <c r="L4" s="40"/>
      <c r="M4" s="46"/>
      <c r="N4" s="12"/>
    </row>
    <row r="5" spans="1:14" ht="12.7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6"/>
      <c r="N5" s="12"/>
    </row>
    <row r="6" spans="1:14" ht="12.75">
      <c r="A6" s="47" t="s">
        <v>3</v>
      </c>
      <c r="B6" s="40"/>
      <c r="C6" s="40"/>
      <c r="D6" s="48" t="s">
        <v>770</v>
      </c>
      <c r="E6" s="49" t="s">
        <v>1636</v>
      </c>
      <c r="F6" s="40"/>
      <c r="G6" s="40"/>
      <c r="H6" s="40"/>
      <c r="I6" s="48" t="s">
        <v>1658</v>
      </c>
      <c r="J6" s="48"/>
      <c r="K6" s="40"/>
      <c r="L6" s="40"/>
      <c r="M6" s="46"/>
      <c r="N6" s="12"/>
    </row>
    <row r="7" spans="1:14" ht="12.7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6"/>
      <c r="N7" s="12"/>
    </row>
    <row r="8" spans="1:14" ht="12.75">
      <c r="A8" s="47" t="s">
        <v>4</v>
      </c>
      <c r="B8" s="40"/>
      <c r="C8" s="40"/>
      <c r="D8" s="48"/>
      <c r="E8" s="49" t="s">
        <v>1637</v>
      </c>
      <c r="F8" s="40"/>
      <c r="G8" s="52">
        <v>42830</v>
      </c>
      <c r="H8" s="40"/>
      <c r="I8" s="48" t="s">
        <v>1659</v>
      </c>
      <c r="J8" s="48" t="s">
        <v>1662</v>
      </c>
      <c r="K8" s="40"/>
      <c r="L8" s="40"/>
      <c r="M8" s="46"/>
      <c r="N8" s="12"/>
    </row>
    <row r="9" spans="1:14" ht="12.7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3"/>
      <c r="N9" s="12"/>
    </row>
    <row r="10" spans="1:14" ht="12.75">
      <c r="A10" s="1" t="s">
        <v>5</v>
      </c>
      <c r="B10" s="3" t="s">
        <v>405</v>
      </c>
      <c r="C10" s="3" t="s">
        <v>415</v>
      </c>
      <c r="D10" s="3" t="s">
        <v>771</v>
      </c>
      <c r="E10" s="3" t="s">
        <v>1638</v>
      </c>
      <c r="F10" s="4" t="s">
        <v>1650</v>
      </c>
      <c r="G10" s="7" t="s">
        <v>1651</v>
      </c>
      <c r="H10" s="54" t="s">
        <v>1653</v>
      </c>
      <c r="I10" s="55"/>
      <c r="J10" s="56"/>
      <c r="K10" s="54" t="s">
        <v>1664</v>
      </c>
      <c r="L10" s="56"/>
      <c r="M10" s="9" t="s">
        <v>1665</v>
      </c>
      <c r="N10" s="13"/>
    </row>
    <row r="11" spans="1:24" ht="12.75">
      <c r="A11" s="85" t="s">
        <v>6</v>
      </c>
      <c r="B11" s="86" t="s">
        <v>6</v>
      </c>
      <c r="C11" s="86" t="s">
        <v>6</v>
      </c>
      <c r="D11" s="87" t="s">
        <v>772</v>
      </c>
      <c r="E11" s="86" t="s">
        <v>6</v>
      </c>
      <c r="F11" s="86" t="s">
        <v>6</v>
      </c>
      <c r="G11" s="88" t="s">
        <v>1652</v>
      </c>
      <c r="H11" s="89" t="s">
        <v>1654</v>
      </c>
      <c r="I11" s="90" t="s">
        <v>1660</v>
      </c>
      <c r="J11" s="91" t="s">
        <v>1663</v>
      </c>
      <c r="K11" s="89" t="s">
        <v>1651</v>
      </c>
      <c r="L11" s="91" t="s">
        <v>1663</v>
      </c>
      <c r="M11" s="92" t="s">
        <v>1666</v>
      </c>
      <c r="N11" s="13"/>
      <c r="P11" s="8" t="s">
        <v>1672</v>
      </c>
      <c r="Q11" s="8" t="s">
        <v>1673</v>
      </c>
      <c r="R11" s="8" t="s">
        <v>1674</v>
      </c>
      <c r="S11" s="8" t="s">
        <v>1675</v>
      </c>
      <c r="T11" s="8" t="s">
        <v>1676</v>
      </c>
      <c r="U11" s="8" t="s">
        <v>1677</v>
      </c>
      <c r="V11" s="8" t="s">
        <v>1678</v>
      </c>
      <c r="W11" s="8" t="s">
        <v>1679</v>
      </c>
      <c r="X11" s="8" t="s">
        <v>1680</v>
      </c>
    </row>
    <row r="12" spans="1:13" s="119" customFormat="1" ht="12.75">
      <c r="A12" s="113"/>
      <c r="B12" s="114" t="s">
        <v>406</v>
      </c>
      <c r="C12" s="114"/>
      <c r="D12" s="115" t="s">
        <v>773</v>
      </c>
      <c r="E12" s="116"/>
      <c r="F12" s="116"/>
      <c r="G12" s="116"/>
      <c r="H12" s="117">
        <f>H13+H20+H34+H42+H45+H80+H133+H166+H203+H207+H286+H292+H312+H328+H348+H356+H388+H390+H392+H394+H397+H468+H480+H503+H544+H556+H583+H619+H631+H648+H664+H687+H689+H695+H700+H702</f>
        <v>0</v>
      </c>
      <c r="I12" s="117">
        <f>I13+I20+I34+I42+I45+I80+I133+I166+I203+I207+I286+I292+I312+I328+I348+I356+I388+I390+I392+I394+I397+I468+I480+I503+I544+I556+I583+I619+I631+I648+I664+I687+I689+I695+I700+I702</f>
        <v>0</v>
      </c>
      <c r="J12" s="117">
        <f>H12+I12</f>
        <v>0</v>
      </c>
      <c r="K12" s="118"/>
      <c r="L12" s="117">
        <f>L13+L20+L34+L42+L45+L80+L133+L166+L203+L207+L286+L292+L312+L328+L348+L356+L388+L390+L392+L394+L397+L468+L480+L503+L544+L556+L583+L619+L631+L648+L664+L687+L689+L695+L700+L702</f>
        <v>324.8701841000001</v>
      </c>
      <c r="M12" s="118"/>
    </row>
    <row r="13" spans="1:37" ht="12.75">
      <c r="A13" s="93"/>
      <c r="B13" s="94" t="s">
        <v>406</v>
      </c>
      <c r="C13" s="94" t="s">
        <v>18</v>
      </c>
      <c r="D13" s="95" t="s">
        <v>774</v>
      </c>
      <c r="E13" s="96"/>
      <c r="F13" s="96"/>
      <c r="G13" s="96"/>
      <c r="H13" s="97">
        <f>SUM(H14:H19)</f>
        <v>0</v>
      </c>
      <c r="I13" s="97">
        <f>SUM(I14:I19)</f>
        <v>0</v>
      </c>
      <c r="J13" s="97">
        <f>H13+I13</f>
        <v>0</v>
      </c>
      <c r="K13" s="98"/>
      <c r="L13" s="97">
        <f>SUM(L14:L19)</f>
        <v>0</v>
      </c>
      <c r="M13" s="98"/>
      <c r="Y13" s="8" t="s">
        <v>406</v>
      </c>
      <c r="AI13" s="16">
        <f>SUM(Z14:Z19)</f>
        <v>0</v>
      </c>
      <c r="AJ13" s="16">
        <f>SUM(AA14:AA19)</f>
        <v>0</v>
      </c>
      <c r="AK13" s="16">
        <f>SUM(AB14:AB19)</f>
        <v>0</v>
      </c>
    </row>
    <row r="14" spans="1:48" ht="12.75">
      <c r="A14" s="99" t="s">
        <v>7</v>
      </c>
      <c r="B14" s="99" t="s">
        <v>406</v>
      </c>
      <c r="C14" s="99" t="s">
        <v>416</v>
      </c>
      <c r="D14" s="99" t="s">
        <v>775</v>
      </c>
      <c r="E14" s="99" t="s">
        <v>1639</v>
      </c>
      <c r="F14" s="100">
        <v>118.8</v>
      </c>
      <c r="G14" s="100">
        <v>0</v>
      </c>
      <c r="H14" s="100">
        <f>F14*AE14</f>
        <v>0</v>
      </c>
      <c r="I14" s="100">
        <f>J14-H14</f>
        <v>0</v>
      </c>
      <c r="J14" s="100">
        <f>F14*G14</f>
        <v>0</v>
      </c>
      <c r="K14" s="100">
        <v>0</v>
      </c>
      <c r="L14" s="100">
        <f>F14*K14</f>
        <v>0</v>
      </c>
      <c r="M14" s="101" t="s">
        <v>1667</v>
      </c>
      <c r="P14" s="14">
        <f>IF(AG14="5",J14,0)</f>
        <v>0</v>
      </c>
      <c r="R14" s="14">
        <f>IF(AG14="1",H14,0)</f>
        <v>0</v>
      </c>
      <c r="S14" s="14">
        <f>IF(AG14="1",I14,0)</f>
        <v>0</v>
      </c>
      <c r="T14" s="14">
        <f>IF(AG14="7",H14,0)</f>
        <v>0</v>
      </c>
      <c r="U14" s="14">
        <f>IF(AG14="7",I14,0)</f>
        <v>0</v>
      </c>
      <c r="V14" s="14">
        <f>IF(AG14="2",H14,0)</f>
        <v>0</v>
      </c>
      <c r="W14" s="14">
        <f>IF(AG14="2",I14,0)</f>
        <v>0</v>
      </c>
      <c r="X14" s="14">
        <f>IF(AG14="0",J14,0)</f>
        <v>0</v>
      </c>
      <c r="Y14" s="8" t="s">
        <v>406</v>
      </c>
      <c r="Z14" s="5">
        <f>IF(AD14=0,J14,0)</f>
        <v>0</v>
      </c>
      <c r="AA14" s="5">
        <f>IF(AD14=15,J14,0)</f>
        <v>0</v>
      </c>
      <c r="AB14" s="5">
        <f>IF(AD14=21,J14,0)</f>
        <v>0</v>
      </c>
      <c r="AD14" s="14">
        <v>15</v>
      </c>
      <c r="AE14" s="14">
        <f>G14*0</f>
        <v>0</v>
      </c>
      <c r="AF14" s="14">
        <f>G14*(1-0)</f>
        <v>0</v>
      </c>
      <c r="AG14" s="10" t="s">
        <v>7</v>
      </c>
      <c r="AM14" s="14">
        <f>F14*AE14</f>
        <v>0</v>
      </c>
      <c r="AN14" s="14">
        <f>F14*AF14</f>
        <v>0</v>
      </c>
      <c r="AO14" s="15" t="s">
        <v>1681</v>
      </c>
      <c r="AP14" s="15" t="s">
        <v>1726</v>
      </c>
      <c r="AQ14" s="8" t="s">
        <v>1769</v>
      </c>
      <c r="AS14" s="14">
        <f>AM14+AN14</f>
        <v>0</v>
      </c>
      <c r="AT14" s="14">
        <f>G14/(100-AU14)*100</f>
        <v>0</v>
      </c>
      <c r="AU14" s="14">
        <v>0</v>
      </c>
      <c r="AV14" s="14">
        <f>L14</f>
        <v>0</v>
      </c>
    </row>
    <row r="15" spans="1:13" ht="12.75">
      <c r="A15" s="102"/>
      <c r="B15" s="102"/>
      <c r="C15" s="102"/>
      <c r="D15" s="103" t="s">
        <v>776</v>
      </c>
      <c r="E15" s="102"/>
      <c r="F15" s="104">
        <v>108</v>
      </c>
      <c r="G15" s="102"/>
      <c r="H15" s="102"/>
      <c r="I15" s="102"/>
      <c r="J15" s="102"/>
      <c r="K15" s="102"/>
      <c r="L15" s="102"/>
      <c r="M15" s="102"/>
    </row>
    <row r="16" spans="1:13" ht="12.75">
      <c r="A16" s="102"/>
      <c r="B16" s="102"/>
      <c r="C16" s="102"/>
      <c r="D16" s="103" t="s">
        <v>777</v>
      </c>
      <c r="E16" s="102"/>
      <c r="F16" s="104">
        <v>10.8</v>
      </c>
      <c r="G16" s="102"/>
      <c r="H16" s="102"/>
      <c r="I16" s="102"/>
      <c r="J16" s="102"/>
      <c r="K16" s="102"/>
      <c r="L16" s="102"/>
      <c r="M16" s="102"/>
    </row>
    <row r="17" spans="1:48" ht="12.75">
      <c r="A17" s="99" t="s">
        <v>8</v>
      </c>
      <c r="B17" s="99" t="s">
        <v>406</v>
      </c>
      <c r="C17" s="99" t="s">
        <v>417</v>
      </c>
      <c r="D17" s="99" t="s">
        <v>778</v>
      </c>
      <c r="E17" s="99" t="s">
        <v>1639</v>
      </c>
      <c r="F17" s="100">
        <v>25.5</v>
      </c>
      <c r="G17" s="100">
        <v>0</v>
      </c>
      <c r="H17" s="100">
        <f>F17*AE17</f>
        <v>0</v>
      </c>
      <c r="I17" s="100">
        <f>J17-H17</f>
        <v>0</v>
      </c>
      <c r="J17" s="100">
        <f>F17*G17</f>
        <v>0</v>
      </c>
      <c r="K17" s="100">
        <v>0</v>
      </c>
      <c r="L17" s="100">
        <f>F17*K17</f>
        <v>0</v>
      </c>
      <c r="M17" s="101" t="s">
        <v>1667</v>
      </c>
      <c r="P17" s="14">
        <f>IF(AG17="5",J17,0)</f>
        <v>0</v>
      </c>
      <c r="R17" s="14">
        <f>IF(AG17="1",H17,0)</f>
        <v>0</v>
      </c>
      <c r="S17" s="14">
        <f>IF(AG17="1",I17,0)</f>
        <v>0</v>
      </c>
      <c r="T17" s="14">
        <f>IF(AG17="7",H17,0)</f>
        <v>0</v>
      </c>
      <c r="U17" s="14">
        <f>IF(AG17="7",I17,0)</f>
        <v>0</v>
      </c>
      <c r="V17" s="14">
        <f>IF(AG17="2",H17,0)</f>
        <v>0</v>
      </c>
      <c r="W17" s="14">
        <f>IF(AG17="2",I17,0)</f>
        <v>0</v>
      </c>
      <c r="X17" s="14">
        <f>IF(AG17="0",J17,0)</f>
        <v>0</v>
      </c>
      <c r="Y17" s="8" t="s">
        <v>406</v>
      </c>
      <c r="Z17" s="5">
        <f>IF(AD17=0,J17,0)</f>
        <v>0</v>
      </c>
      <c r="AA17" s="5">
        <f>IF(AD17=15,J17,0)</f>
        <v>0</v>
      </c>
      <c r="AB17" s="5">
        <f>IF(AD17=21,J17,0)</f>
        <v>0</v>
      </c>
      <c r="AD17" s="14">
        <v>15</v>
      </c>
      <c r="AE17" s="14">
        <f>G17*0</f>
        <v>0</v>
      </c>
      <c r="AF17" s="14">
        <f>G17*(1-0)</f>
        <v>0</v>
      </c>
      <c r="AG17" s="10" t="s">
        <v>7</v>
      </c>
      <c r="AM17" s="14">
        <f>F17*AE17</f>
        <v>0</v>
      </c>
      <c r="AN17" s="14">
        <f>F17*AF17</f>
        <v>0</v>
      </c>
      <c r="AO17" s="15" t="s">
        <v>1681</v>
      </c>
      <c r="AP17" s="15" t="s">
        <v>1726</v>
      </c>
      <c r="AQ17" s="8" t="s">
        <v>1769</v>
      </c>
      <c r="AS17" s="14">
        <f>AM17+AN17</f>
        <v>0</v>
      </c>
      <c r="AT17" s="14">
        <f>G17/(100-AU17)*100</f>
        <v>0</v>
      </c>
      <c r="AU17" s="14">
        <v>0</v>
      </c>
      <c r="AV17" s="14">
        <f>L17</f>
        <v>0</v>
      </c>
    </row>
    <row r="18" spans="1:13" ht="12.75">
      <c r="A18" s="102"/>
      <c r="B18" s="102"/>
      <c r="C18" s="102"/>
      <c r="D18" s="103" t="s">
        <v>779</v>
      </c>
      <c r="E18" s="102"/>
      <c r="F18" s="104">
        <v>25.5</v>
      </c>
      <c r="G18" s="102"/>
      <c r="H18" s="102"/>
      <c r="I18" s="102"/>
      <c r="J18" s="102"/>
      <c r="K18" s="102"/>
      <c r="L18" s="102"/>
      <c r="M18" s="102"/>
    </row>
    <row r="19" spans="1:48" ht="12.75">
      <c r="A19" s="99" t="s">
        <v>9</v>
      </c>
      <c r="B19" s="99" t="s">
        <v>406</v>
      </c>
      <c r="C19" s="99" t="s">
        <v>418</v>
      </c>
      <c r="D19" s="99" t="s">
        <v>780</v>
      </c>
      <c r="E19" s="99" t="s">
        <v>1639</v>
      </c>
      <c r="F19" s="100">
        <v>25.5</v>
      </c>
      <c r="G19" s="100">
        <v>0</v>
      </c>
      <c r="H19" s="100">
        <f>F19*AE19</f>
        <v>0</v>
      </c>
      <c r="I19" s="100">
        <f>J19-H19</f>
        <v>0</v>
      </c>
      <c r="J19" s="100">
        <f>F19*G19</f>
        <v>0</v>
      </c>
      <c r="K19" s="100">
        <v>0</v>
      </c>
      <c r="L19" s="100">
        <f>F19*K19</f>
        <v>0</v>
      </c>
      <c r="M19" s="101" t="s">
        <v>1667</v>
      </c>
      <c r="P19" s="14">
        <f>IF(AG19="5",J19,0)</f>
        <v>0</v>
      </c>
      <c r="R19" s="14">
        <f>IF(AG19="1",H19,0)</f>
        <v>0</v>
      </c>
      <c r="S19" s="14">
        <f>IF(AG19="1",I19,0)</f>
        <v>0</v>
      </c>
      <c r="T19" s="14">
        <f>IF(AG19="7",H19,0)</f>
        <v>0</v>
      </c>
      <c r="U19" s="14">
        <f>IF(AG19="7",I19,0)</f>
        <v>0</v>
      </c>
      <c r="V19" s="14">
        <f>IF(AG19="2",H19,0)</f>
        <v>0</v>
      </c>
      <c r="W19" s="14">
        <f>IF(AG19="2",I19,0)</f>
        <v>0</v>
      </c>
      <c r="X19" s="14">
        <f>IF(AG19="0",J19,0)</f>
        <v>0</v>
      </c>
      <c r="Y19" s="8" t="s">
        <v>406</v>
      </c>
      <c r="Z19" s="5">
        <f>IF(AD19=0,J19,0)</f>
        <v>0</v>
      </c>
      <c r="AA19" s="5">
        <f>IF(AD19=15,J19,0)</f>
        <v>0</v>
      </c>
      <c r="AB19" s="5">
        <f>IF(AD19=21,J19,0)</f>
        <v>0</v>
      </c>
      <c r="AD19" s="14">
        <v>15</v>
      </c>
      <c r="AE19" s="14">
        <f>G19*0</f>
        <v>0</v>
      </c>
      <c r="AF19" s="14">
        <f>G19*(1-0)</f>
        <v>0</v>
      </c>
      <c r="AG19" s="10" t="s">
        <v>7</v>
      </c>
      <c r="AM19" s="14">
        <f>F19*AE19</f>
        <v>0</v>
      </c>
      <c r="AN19" s="14">
        <f>F19*AF19</f>
        <v>0</v>
      </c>
      <c r="AO19" s="15" t="s">
        <v>1681</v>
      </c>
      <c r="AP19" s="15" t="s">
        <v>1726</v>
      </c>
      <c r="AQ19" s="8" t="s">
        <v>1769</v>
      </c>
      <c r="AS19" s="14">
        <f>AM19+AN19</f>
        <v>0</v>
      </c>
      <c r="AT19" s="14">
        <f>G19/(100-AU19)*100</f>
        <v>0</v>
      </c>
      <c r="AU19" s="14">
        <v>0</v>
      </c>
      <c r="AV19" s="14">
        <f>L19</f>
        <v>0</v>
      </c>
    </row>
    <row r="20" spans="1:37" ht="12.75">
      <c r="A20" s="93"/>
      <c r="B20" s="94" t="s">
        <v>406</v>
      </c>
      <c r="C20" s="94" t="s">
        <v>19</v>
      </c>
      <c r="D20" s="95" t="s">
        <v>781</v>
      </c>
      <c r="E20" s="96"/>
      <c r="F20" s="96"/>
      <c r="G20" s="96"/>
      <c r="H20" s="97">
        <f>SUM(H21:H22)</f>
        <v>0</v>
      </c>
      <c r="I20" s="97">
        <f>SUM(I21:I22)</f>
        <v>0</v>
      </c>
      <c r="J20" s="97">
        <f>H20+I20</f>
        <v>0</v>
      </c>
      <c r="K20" s="98"/>
      <c r="L20" s="97">
        <f>SUM(L21:L22)</f>
        <v>0</v>
      </c>
      <c r="M20" s="98"/>
      <c r="Y20" s="8" t="s">
        <v>406</v>
      </c>
      <c r="AI20" s="16">
        <f>SUM(Z21:Z22)</f>
        <v>0</v>
      </c>
      <c r="AJ20" s="16">
        <f>SUM(AA21:AA22)</f>
        <v>0</v>
      </c>
      <c r="AK20" s="16">
        <f>SUM(AB21:AB22)</f>
        <v>0</v>
      </c>
    </row>
    <row r="21" spans="1:48" ht="12.75">
      <c r="A21" s="99" t="s">
        <v>10</v>
      </c>
      <c r="B21" s="99" t="s">
        <v>406</v>
      </c>
      <c r="C21" s="99" t="s">
        <v>419</v>
      </c>
      <c r="D21" s="99" t="s">
        <v>782</v>
      </c>
      <c r="E21" s="99" t="s">
        <v>1639</v>
      </c>
      <c r="F21" s="100">
        <v>26.12</v>
      </c>
      <c r="G21" s="100">
        <v>0</v>
      </c>
      <c r="H21" s="100">
        <f>F21*AE21</f>
        <v>0</v>
      </c>
      <c r="I21" s="100">
        <f>J21-H21</f>
        <v>0</v>
      </c>
      <c r="J21" s="100">
        <f>F21*G21</f>
        <v>0</v>
      </c>
      <c r="K21" s="100">
        <v>0</v>
      </c>
      <c r="L21" s="100">
        <f>F21*K21</f>
        <v>0</v>
      </c>
      <c r="M21" s="101" t="s">
        <v>1667</v>
      </c>
      <c r="P21" s="14">
        <f>IF(AG21="5",J21,0)</f>
        <v>0</v>
      </c>
      <c r="R21" s="14">
        <f>IF(AG21="1",H21,0)</f>
        <v>0</v>
      </c>
      <c r="S21" s="14">
        <f>IF(AG21="1",I21,0)</f>
        <v>0</v>
      </c>
      <c r="T21" s="14">
        <f>IF(AG21="7",H21,0)</f>
        <v>0</v>
      </c>
      <c r="U21" s="14">
        <f>IF(AG21="7",I21,0)</f>
        <v>0</v>
      </c>
      <c r="V21" s="14">
        <f>IF(AG21="2",H21,0)</f>
        <v>0</v>
      </c>
      <c r="W21" s="14">
        <f>IF(AG21="2",I21,0)</f>
        <v>0</v>
      </c>
      <c r="X21" s="14">
        <f>IF(AG21="0",J21,0)</f>
        <v>0</v>
      </c>
      <c r="Y21" s="8" t="s">
        <v>406</v>
      </c>
      <c r="Z21" s="5">
        <f>IF(AD21=0,J21,0)</f>
        <v>0</v>
      </c>
      <c r="AA21" s="5">
        <f>IF(AD21=15,J21,0)</f>
        <v>0</v>
      </c>
      <c r="AB21" s="5">
        <f>IF(AD21=21,J21,0)</f>
        <v>0</v>
      </c>
      <c r="AD21" s="14">
        <v>15</v>
      </c>
      <c r="AE21" s="14">
        <f>G21*0</f>
        <v>0</v>
      </c>
      <c r="AF21" s="14">
        <f>G21*(1-0)</f>
        <v>0</v>
      </c>
      <c r="AG21" s="10" t="s">
        <v>7</v>
      </c>
      <c r="AM21" s="14">
        <f>F21*AE21</f>
        <v>0</v>
      </c>
      <c r="AN21" s="14">
        <f>F21*AF21</f>
        <v>0</v>
      </c>
      <c r="AO21" s="15" t="s">
        <v>1682</v>
      </c>
      <c r="AP21" s="15" t="s">
        <v>1726</v>
      </c>
      <c r="AQ21" s="8" t="s">
        <v>1769</v>
      </c>
      <c r="AS21" s="14">
        <f>AM21+AN21</f>
        <v>0</v>
      </c>
      <c r="AT21" s="14">
        <f>G21/(100-AU21)*100</f>
        <v>0</v>
      </c>
      <c r="AU21" s="14">
        <v>0</v>
      </c>
      <c r="AV21" s="14">
        <f>L21</f>
        <v>0</v>
      </c>
    </row>
    <row r="22" spans="1:48" ht="12.75">
      <c r="A22" s="99" t="s">
        <v>11</v>
      </c>
      <c r="B22" s="99" t="s">
        <v>406</v>
      </c>
      <c r="C22" s="99" t="s">
        <v>420</v>
      </c>
      <c r="D22" s="99" t="s">
        <v>783</v>
      </c>
      <c r="E22" s="99" t="s">
        <v>1639</v>
      </c>
      <c r="F22" s="100">
        <v>26.12</v>
      </c>
      <c r="G22" s="100">
        <v>0</v>
      </c>
      <c r="H22" s="100">
        <f>F22*AE22</f>
        <v>0</v>
      </c>
      <c r="I22" s="100">
        <f>J22-H22</f>
        <v>0</v>
      </c>
      <c r="J22" s="100">
        <f>F22*G22</f>
        <v>0</v>
      </c>
      <c r="K22" s="100">
        <v>0</v>
      </c>
      <c r="L22" s="100">
        <f>F22*K22</f>
        <v>0</v>
      </c>
      <c r="M22" s="101" t="s">
        <v>1667</v>
      </c>
      <c r="P22" s="14">
        <f>IF(AG22="5",J22,0)</f>
        <v>0</v>
      </c>
      <c r="R22" s="14">
        <f>IF(AG22="1",H22,0)</f>
        <v>0</v>
      </c>
      <c r="S22" s="14">
        <f>IF(AG22="1",I22,0)</f>
        <v>0</v>
      </c>
      <c r="T22" s="14">
        <f>IF(AG22="7",H22,0)</f>
        <v>0</v>
      </c>
      <c r="U22" s="14">
        <f>IF(AG22="7",I22,0)</f>
        <v>0</v>
      </c>
      <c r="V22" s="14">
        <f>IF(AG22="2",H22,0)</f>
        <v>0</v>
      </c>
      <c r="W22" s="14">
        <f>IF(AG22="2",I22,0)</f>
        <v>0</v>
      </c>
      <c r="X22" s="14">
        <f>IF(AG22="0",J22,0)</f>
        <v>0</v>
      </c>
      <c r="Y22" s="8" t="s">
        <v>406</v>
      </c>
      <c r="Z22" s="5">
        <f>IF(AD22=0,J22,0)</f>
        <v>0</v>
      </c>
      <c r="AA22" s="5">
        <f>IF(AD22=15,J22,0)</f>
        <v>0</v>
      </c>
      <c r="AB22" s="5">
        <f>IF(AD22=21,J22,0)</f>
        <v>0</v>
      </c>
      <c r="AD22" s="14">
        <v>15</v>
      </c>
      <c r="AE22" s="14">
        <f>G22*0</f>
        <v>0</v>
      </c>
      <c r="AF22" s="14">
        <f>G22*(1-0)</f>
        <v>0</v>
      </c>
      <c r="AG22" s="10" t="s">
        <v>7</v>
      </c>
      <c r="AM22" s="14">
        <f>F22*AE22</f>
        <v>0</v>
      </c>
      <c r="AN22" s="14">
        <f>F22*AF22</f>
        <v>0</v>
      </c>
      <c r="AO22" s="15" t="s">
        <v>1682</v>
      </c>
      <c r="AP22" s="15" t="s">
        <v>1726</v>
      </c>
      <c r="AQ22" s="8" t="s">
        <v>1769</v>
      </c>
      <c r="AS22" s="14">
        <f>AM22+AN22</f>
        <v>0</v>
      </c>
      <c r="AT22" s="14">
        <f>G22/(100-AU22)*100</f>
        <v>0</v>
      </c>
      <c r="AU22" s="14">
        <v>0</v>
      </c>
      <c r="AV22" s="14">
        <f>L22</f>
        <v>0</v>
      </c>
    </row>
    <row r="23" spans="1:13" ht="12.75">
      <c r="A23" s="102"/>
      <c r="B23" s="102"/>
      <c r="C23" s="102"/>
      <c r="D23" s="103" t="s">
        <v>784</v>
      </c>
      <c r="E23" s="102"/>
      <c r="F23" s="104">
        <v>2.33</v>
      </c>
      <c r="G23" s="102"/>
      <c r="H23" s="102"/>
      <c r="I23" s="102"/>
      <c r="J23" s="102"/>
      <c r="K23" s="102"/>
      <c r="L23" s="102"/>
      <c r="M23" s="102"/>
    </row>
    <row r="24" spans="1:13" ht="12.75">
      <c r="A24" s="102"/>
      <c r="B24" s="102"/>
      <c r="C24" s="102"/>
      <c r="D24" s="103" t="s">
        <v>785</v>
      </c>
      <c r="E24" s="102"/>
      <c r="F24" s="104">
        <v>1.47</v>
      </c>
      <c r="G24" s="102"/>
      <c r="H24" s="102"/>
      <c r="I24" s="102"/>
      <c r="J24" s="102"/>
      <c r="K24" s="102"/>
      <c r="L24" s="102"/>
      <c r="M24" s="102"/>
    </row>
    <row r="25" spans="1:13" ht="12.75">
      <c r="A25" s="102"/>
      <c r="B25" s="102"/>
      <c r="C25" s="102"/>
      <c r="D25" s="103" t="s">
        <v>786</v>
      </c>
      <c r="E25" s="102"/>
      <c r="F25" s="104">
        <v>6.98</v>
      </c>
      <c r="G25" s="102"/>
      <c r="H25" s="102"/>
      <c r="I25" s="102"/>
      <c r="J25" s="102"/>
      <c r="K25" s="102"/>
      <c r="L25" s="102"/>
      <c r="M25" s="102"/>
    </row>
    <row r="26" spans="1:13" ht="12.75">
      <c r="A26" s="102"/>
      <c r="B26" s="102"/>
      <c r="C26" s="102"/>
      <c r="D26" s="103" t="s">
        <v>787</v>
      </c>
      <c r="E26" s="102"/>
      <c r="F26" s="104">
        <v>1.47</v>
      </c>
      <c r="G26" s="102"/>
      <c r="H26" s="102"/>
      <c r="I26" s="102"/>
      <c r="J26" s="102"/>
      <c r="K26" s="102"/>
      <c r="L26" s="102"/>
      <c r="M26" s="102"/>
    </row>
    <row r="27" spans="1:13" ht="12.75">
      <c r="A27" s="102"/>
      <c r="B27" s="102"/>
      <c r="C27" s="102"/>
      <c r="D27" s="103" t="s">
        <v>788</v>
      </c>
      <c r="E27" s="102"/>
      <c r="F27" s="104">
        <v>2.33</v>
      </c>
      <c r="G27" s="102"/>
      <c r="H27" s="102"/>
      <c r="I27" s="102"/>
      <c r="J27" s="102"/>
      <c r="K27" s="102"/>
      <c r="L27" s="102"/>
      <c r="M27" s="102"/>
    </row>
    <row r="28" spans="1:13" ht="12.75">
      <c r="A28" s="102"/>
      <c r="B28" s="102"/>
      <c r="C28" s="102"/>
      <c r="D28" s="103" t="s">
        <v>789</v>
      </c>
      <c r="E28" s="102"/>
      <c r="F28" s="104">
        <v>4.05</v>
      </c>
      <c r="G28" s="102"/>
      <c r="H28" s="102"/>
      <c r="I28" s="102"/>
      <c r="J28" s="102"/>
      <c r="K28" s="102"/>
      <c r="L28" s="102"/>
      <c r="M28" s="102"/>
    </row>
    <row r="29" spans="1:13" ht="12.75">
      <c r="A29" s="102"/>
      <c r="B29" s="102"/>
      <c r="C29" s="102"/>
      <c r="D29" s="103" t="s">
        <v>790</v>
      </c>
      <c r="E29" s="102"/>
      <c r="F29" s="104">
        <v>2.02</v>
      </c>
      <c r="G29" s="102"/>
      <c r="H29" s="102"/>
      <c r="I29" s="102"/>
      <c r="J29" s="102"/>
      <c r="K29" s="102"/>
      <c r="L29" s="102"/>
      <c r="M29" s="102"/>
    </row>
    <row r="30" spans="1:13" ht="12.75">
      <c r="A30" s="102"/>
      <c r="B30" s="102"/>
      <c r="C30" s="102"/>
      <c r="D30" s="103" t="s">
        <v>791</v>
      </c>
      <c r="E30" s="102"/>
      <c r="F30" s="104">
        <v>1.53</v>
      </c>
      <c r="G30" s="102"/>
      <c r="H30" s="102"/>
      <c r="I30" s="102"/>
      <c r="J30" s="102"/>
      <c r="K30" s="102"/>
      <c r="L30" s="102"/>
      <c r="M30" s="102"/>
    </row>
    <row r="31" spans="1:13" ht="12.75">
      <c r="A31" s="102"/>
      <c r="B31" s="102"/>
      <c r="C31" s="102"/>
      <c r="D31" s="103" t="s">
        <v>792</v>
      </c>
      <c r="E31" s="102"/>
      <c r="F31" s="104">
        <v>3.32</v>
      </c>
      <c r="G31" s="102"/>
      <c r="H31" s="102"/>
      <c r="I31" s="102"/>
      <c r="J31" s="102"/>
      <c r="K31" s="102"/>
      <c r="L31" s="102"/>
      <c r="M31" s="102"/>
    </row>
    <row r="32" spans="1:13" ht="12.75">
      <c r="A32" s="102"/>
      <c r="B32" s="102"/>
      <c r="C32" s="102"/>
      <c r="D32" s="103" t="s">
        <v>793</v>
      </c>
      <c r="E32" s="102"/>
      <c r="F32" s="104">
        <v>0.34</v>
      </c>
      <c r="G32" s="102"/>
      <c r="H32" s="102"/>
      <c r="I32" s="102"/>
      <c r="J32" s="102"/>
      <c r="K32" s="102"/>
      <c r="L32" s="102"/>
      <c r="M32" s="102"/>
    </row>
    <row r="33" spans="1:13" ht="12.75">
      <c r="A33" s="102"/>
      <c r="B33" s="102"/>
      <c r="C33" s="102"/>
      <c r="D33" s="103" t="s">
        <v>794</v>
      </c>
      <c r="E33" s="102"/>
      <c r="F33" s="104">
        <v>0.28</v>
      </c>
      <c r="G33" s="102"/>
      <c r="H33" s="102"/>
      <c r="I33" s="102"/>
      <c r="J33" s="102"/>
      <c r="K33" s="102"/>
      <c r="L33" s="102"/>
      <c r="M33" s="102"/>
    </row>
    <row r="34" spans="1:37" ht="12.75">
      <c r="A34" s="93"/>
      <c r="B34" s="94" t="s">
        <v>406</v>
      </c>
      <c r="C34" s="94" t="s">
        <v>22</v>
      </c>
      <c r="D34" s="95" t="s">
        <v>795</v>
      </c>
      <c r="E34" s="96"/>
      <c r="F34" s="96"/>
      <c r="G34" s="96"/>
      <c r="H34" s="97">
        <f>SUM(H35:H41)</f>
        <v>0</v>
      </c>
      <c r="I34" s="97">
        <f>SUM(I35:I41)</f>
        <v>0</v>
      </c>
      <c r="J34" s="97">
        <f>H34+I34</f>
        <v>0</v>
      </c>
      <c r="K34" s="98"/>
      <c r="L34" s="97">
        <f>SUM(L35:L41)</f>
        <v>0</v>
      </c>
      <c r="M34" s="98"/>
      <c r="Y34" s="8" t="s">
        <v>406</v>
      </c>
      <c r="AI34" s="16">
        <f>SUM(Z35:Z41)</f>
        <v>0</v>
      </c>
      <c r="AJ34" s="16">
        <f>SUM(AA35:AA41)</f>
        <v>0</v>
      </c>
      <c r="AK34" s="16">
        <f>SUM(AB35:AB41)</f>
        <v>0</v>
      </c>
    </row>
    <row r="35" spans="1:48" ht="12.75">
      <c r="A35" s="99" t="s">
        <v>12</v>
      </c>
      <c r="B35" s="99" t="s">
        <v>406</v>
      </c>
      <c r="C35" s="99" t="s">
        <v>421</v>
      </c>
      <c r="D35" s="99" t="s">
        <v>796</v>
      </c>
      <c r="E35" s="99" t="s">
        <v>1639</v>
      </c>
      <c r="F35" s="100">
        <v>51.62</v>
      </c>
      <c r="G35" s="100">
        <v>0</v>
      </c>
      <c r="H35" s="100">
        <f>F35*AE35</f>
        <v>0</v>
      </c>
      <c r="I35" s="100">
        <f>J35-H35</f>
        <v>0</v>
      </c>
      <c r="J35" s="100">
        <f>F35*G35</f>
        <v>0</v>
      </c>
      <c r="K35" s="100">
        <v>0</v>
      </c>
      <c r="L35" s="100">
        <f>F35*K35</f>
        <v>0</v>
      </c>
      <c r="M35" s="101" t="s">
        <v>1667</v>
      </c>
      <c r="P35" s="14">
        <f>IF(AG35="5",J35,0)</f>
        <v>0</v>
      </c>
      <c r="R35" s="14">
        <f>IF(AG35="1",H35,0)</f>
        <v>0</v>
      </c>
      <c r="S35" s="14">
        <f>IF(AG35="1",I35,0)</f>
        <v>0</v>
      </c>
      <c r="T35" s="14">
        <f>IF(AG35="7",H35,0)</f>
        <v>0</v>
      </c>
      <c r="U35" s="14">
        <f>IF(AG35="7",I35,0)</f>
        <v>0</v>
      </c>
      <c r="V35" s="14">
        <f>IF(AG35="2",H35,0)</f>
        <v>0</v>
      </c>
      <c r="W35" s="14">
        <f>IF(AG35="2",I35,0)</f>
        <v>0</v>
      </c>
      <c r="X35" s="14">
        <f>IF(AG35="0",J35,0)</f>
        <v>0</v>
      </c>
      <c r="Y35" s="8" t="s">
        <v>406</v>
      </c>
      <c r="Z35" s="5">
        <f>IF(AD35=0,J35,0)</f>
        <v>0</v>
      </c>
      <c r="AA35" s="5">
        <f>IF(AD35=15,J35,0)</f>
        <v>0</v>
      </c>
      <c r="AB35" s="5">
        <f>IF(AD35=21,J35,0)</f>
        <v>0</v>
      </c>
      <c r="AD35" s="14">
        <v>15</v>
      </c>
      <c r="AE35" s="14">
        <f>G35*0</f>
        <v>0</v>
      </c>
      <c r="AF35" s="14">
        <f>G35*(1-0)</f>
        <v>0</v>
      </c>
      <c r="AG35" s="10" t="s">
        <v>7</v>
      </c>
      <c r="AM35" s="14">
        <f>F35*AE35</f>
        <v>0</v>
      </c>
      <c r="AN35" s="14">
        <f>F35*AF35</f>
        <v>0</v>
      </c>
      <c r="AO35" s="15" t="s">
        <v>1683</v>
      </c>
      <c r="AP35" s="15" t="s">
        <v>1726</v>
      </c>
      <c r="AQ35" s="8" t="s">
        <v>1769</v>
      </c>
      <c r="AS35" s="14">
        <f>AM35+AN35</f>
        <v>0</v>
      </c>
      <c r="AT35" s="14">
        <f>G35/(100-AU35)*100</f>
        <v>0</v>
      </c>
      <c r="AU35" s="14">
        <v>0</v>
      </c>
      <c r="AV35" s="14">
        <f>L35</f>
        <v>0</v>
      </c>
    </row>
    <row r="36" spans="1:13" ht="12.75">
      <c r="A36" s="102"/>
      <c r="B36" s="102"/>
      <c r="C36" s="102"/>
      <c r="D36" s="103" t="s">
        <v>797</v>
      </c>
      <c r="E36" s="102"/>
      <c r="F36" s="104">
        <v>25.5</v>
      </c>
      <c r="G36" s="102"/>
      <c r="H36" s="102"/>
      <c r="I36" s="102"/>
      <c r="J36" s="102"/>
      <c r="K36" s="102"/>
      <c r="L36" s="102"/>
      <c r="M36" s="102"/>
    </row>
    <row r="37" spans="1:13" ht="12.75">
      <c r="A37" s="102"/>
      <c r="B37" s="102"/>
      <c r="C37" s="102"/>
      <c r="D37" s="103" t="s">
        <v>798</v>
      </c>
      <c r="E37" s="102"/>
      <c r="F37" s="104">
        <v>26.12</v>
      </c>
      <c r="G37" s="102"/>
      <c r="H37" s="102"/>
      <c r="I37" s="102"/>
      <c r="J37" s="102"/>
      <c r="K37" s="102"/>
      <c r="L37" s="102"/>
      <c r="M37" s="102"/>
    </row>
    <row r="38" spans="1:48" ht="12.75">
      <c r="A38" s="99" t="s">
        <v>13</v>
      </c>
      <c r="B38" s="99" t="s">
        <v>406</v>
      </c>
      <c r="C38" s="99" t="s">
        <v>422</v>
      </c>
      <c r="D38" s="99" t="s">
        <v>799</v>
      </c>
      <c r="E38" s="99" t="s">
        <v>1639</v>
      </c>
      <c r="F38" s="100">
        <v>45.67</v>
      </c>
      <c r="G38" s="100">
        <v>0</v>
      </c>
      <c r="H38" s="100">
        <f>F38*AE38</f>
        <v>0</v>
      </c>
      <c r="I38" s="100">
        <f>J38-H38</f>
        <v>0</v>
      </c>
      <c r="J38" s="100">
        <f>F38*G38</f>
        <v>0</v>
      </c>
      <c r="K38" s="100">
        <v>0</v>
      </c>
      <c r="L38" s="100">
        <f>F38*K38</f>
        <v>0</v>
      </c>
      <c r="M38" s="101" t="s">
        <v>1667</v>
      </c>
      <c r="P38" s="14">
        <f>IF(AG38="5",J38,0)</f>
        <v>0</v>
      </c>
      <c r="R38" s="14">
        <f>IF(AG38="1",H38,0)</f>
        <v>0</v>
      </c>
      <c r="S38" s="14">
        <f>IF(AG38="1",I38,0)</f>
        <v>0</v>
      </c>
      <c r="T38" s="14">
        <f>IF(AG38="7",H38,0)</f>
        <v>0</v>
      </c>
      <c r="U38" s="14">
        <f>IF(AG38="7",I38,0)</f>
        <v>0</v>
      </c>
      <c r="V38" s="14">
        <f>IF(AG38="2",H38,0)</f>
        <v>0</v>
      </c>
      <c r="W38" s="14">
        <f>IF(AG38="2",I38,0)</f>
        <v>0</v>
      </c>
      <c r="X38" s="14">
        <f>IF(AG38="0",J38,0)</f>
        <v>0</v>
      </c>
      <c r="Y38" s="8" t="s">
        <v>406</v>
      </c>
      <c r="Z38" s="5">
        <f>IF(AD38=0,J38,0)</f>
        <v>0</v>
      </c>
      <c r="AA38" s="5">
        <f>IF(AD38=15,J38,0)</f>
        <v>0</v>
      </c>
      <c r="AB38" s="5">
        <f>IF(AD38=21,J38,0)</f>
        <v>0</v>
      </c>
      <c r="AD38" s="14">
        <v>15</v>
      </c>
      <c r="AE38" s="14">
        <f>G38*0</f>
        <v>0</v>
      </c>
      <c r="AF38" s="14">
        <f>G38*(1-0)</f>
        <v>0</v>
      </c>
      <c r="AG38" s="10" t="s">
        <v>7</v>
      </c>
      <c r="AM38" s="14">
        <f>F38*AE38</f>
        <v>0</v>
      </c>
      <c r="AN38" s="14">
        <f>F38*AF38</f>
        <v>0</v>
      </c>
      <c r="AO38" s="15" t="s">
        <v>1683</v>
      </c>
      <c r="AP38" s="15" t="s">
        <v>1726</v>
      </c>
      <c r="AQ38" s="8" t="s">
        <v>1769</v>
      </c>
      <c r="AS38" s="14">
        <f>AM38+AN38</f>
        <v>0</v>
      </c>
      <c r="AT38" s="14">
        <f>G38/(100-AU38)*100</f>
        <v>0</v>
      </c>
      <c r="AU38" s="14">
        <v>0</v>
      </c>
      <c r="AV38" s="14">
        <f>L38</f>
        <v>0</v>
      </c>
    </row>
    <row r="39" spans="1:13" ht="12.75">
      <c r="A39" s="102"/>
      <c r="B39" s="102"/>
      <c r="C39" s="102"/>
      <c r="D39" s="103" t="s">
        <v>800</v>
      </c>
      <c r="E39" s="102"/>
      <c r="F39" s="104">
        <v>51.62</v>
      </c>
      <c r="G39" s="102"/>
      <c r="H39" s="102"/>
      <c r="I39" s="102"/>
      <c r="J39" s="102"/>
      <c r="K39" s="102"/>
      <c r="L39" s="102"/>
      <c r="M39" s="102"/>
    </row>
    <row r="40" spans="1:13" ht="12.75">
      <c r="A40" s="102"/>
      <c r="B40" s="102"/>
      <c r="C40" s="102"/>
      <c r="D40" s="103" t="s">
        <v>801</v>
      </c>
      <c r="E40" s="102"/>
      <c r="F40" s="104">
        <v>-5.95</v>
      </c>
      <c r="G40" s="102"/>
      <c r="H40" s="102"/>
      <c r="I40" s="102"/>
      <c r="J40" s="102"/>
      <c r="K40" s="102"/>
      <c r="L40" s="102"/>
      <c r="M40" s="102"/>
    </row>
    <row r="41" spans="1:48" ht="12.75">
      <c r="A41" s="99" t="s">
        <v>14</v>
      </c>
      <c r="B41" s="99" t="s">
        <v>406</v>
      </c>
      <c r="C41" s="99" t="s">
        <v>423</v>
      </c>
      <c r="D41" s="99" t="s">
        <v>802</v>
      </c>
      <c r="E41" s="99" t="s">
        <v>1639</v>
      </c>
      <c r="F41" s="100">
        <v>45.67</v>
      </c>
      <c r="G41" s="100">
        <v>0</v>
      </c>
      <c r="H41" s="100">
        <f>F41*AE41</f>
        <v>0</v>
      </c>
      <c r="I41" s="100">
        <f>J41-H41</f>
        <v>0</v>
      </c>
      <c r="J41" s="100">
        <f>F41*G41</f>
        <v>0</v>
      </c>
      <c r="K41" s="100">
        <v>0</v>
      </c>
      <c r="L41" s="100">
        <f>F41*K41</f>
        <v>0</v>
      </c>
      <c r="M41" s="101" t="s">
        <v>1668</v>
      </c>
      <c r="P41" s="14">
        <f>IF(AG41="5",J41,0)</f>
        <v>0</v>
      </c>
      <c r="R41" s="14">
        <f>IF(AG41="1",H41,0)</f>
        <v>0</v>
      </c>
      <c r="S41" s="14">
        <f>IF(AG41="1",I41,0)</f>
        <v>0</v>
      </c>
      <c r="T41" s="14">
        <f>IF(AG41="7",H41,0)</f>
        <v>0</v>
      </c>
      <c r="U41" s="14">
        <f>IF(AG41="7",I41,0)</f>
        <v>0</v>
      </c>
      <c r="V41" s="14">
        <f>IF(AG41="2",H41,0)</f>
        <v>0</v>
      </c>
      <c r="W41" s="14">
        <f>IF(AG41="2",I41,0)</f>
        <v>0</v>
      </c>
      <c r="X41" s="14">
        <f>IF(AG41="0",J41,0)</f>
        <v>0</v>
      </c>
      <c r="Y41" s="8" t="s">
        <v>406</v>
      </c>
      <c r="Z41" s="5">
        <f>IF(AD41=0,J41,0)</f>
        <v>0</v>
      </c>
      <c r="AA41" s="5">
        <f>IF(AD41=15,J41,0)</f>
        <v>0</v>
      </c>
      <c r="AB41" s="5">
        <f>IF(AD41=21,J41,0)</f>
        <v>0</v>
      </c>
      <c r="AD41" s="14">
        <v>15</v>
      </c>
      <c r="AE41" s="14">
        <f>G41*1</f>
        <v>0</v>
      </c>
      <c r="AF41" s="14">
        <f>G41*(1-1)</f>
        <v>0</v>
      </c>
      <c r="AG41" s="10" t="s">
        <v>7</v>
      </c>
      <c r="AM41" s="14">
        <f>F41*AE41</f>
        <v>0</v>
      </c>
      <c r="AN41" s="14">
        <f>F41*AF41</f>
        <v>0</v>
      </c>
      <c r="AO41" s="15" t="s">
        <v>1683</v>
      </c>
      <c r="AP41" s="15" t="s">
        <v>1726</v>
      </c>
      <c r="AQ41" s="8" t="s">
        <v>1769</v>
      </c>
      <c r="AS41" s="14">
        <f>AM41+AN41</f>
        <v>0</v>
      </c>
      <c r="AT41" s="14">
        <f>G41/(100-AU41)*100</f>
        <v>0</v>
      </c>
      <c r="AU41" s="14">
        <v>0</v>
      </c>
      <c r="AV41" s="14">
        <f>L41</f>
        <v>0</v>
      </c>
    </row>
    <row r="42" spans="1:37" ht="12.75">
      <c r="A42" s="93"/>
      <c r="B42" s="94" t="s">
        <v>406</v>
      </c>
      <c r="C42" s="94" t="s">
        <v>23</v>
      </c>
      <c r="D42" s="95" t="s">
        <v>803</v>
      </c>
      <c r="E42" s="96"/>
      <c r="F42" s="96"/>
      <c r="G42" s="96"/>
      <c r="H42" s="97">
        <f>SUM(H43:H44)</f>
        <v>0</v>
      </c>
      <c r="I42" s="97">
        <f>SUM(I43:I44)</f>
        <v>0</v>
      </c>
      <c r="J42" s="97">
        <f>H42+I42</f>
        <v>0</v>
      </c>
      <c r="K42" s="98"/>
      <c r="L42" s="97">
        <f>SUM(L43:L44)</f>
        <v>0</v>
      </c>
      <c r="M42" s="98"/>
      <c r="Y42" s="8" t="s">
        <v>406</v>
      </c>
      <c r="AI42" s="16">
        <f>SUM(Z43:Z44)</f>
        <v>0</v>
      </c>
      <c r="AJ42" s="16">
        <f>SUM(AA43:AA44)</f>
        <v>0</v>
      </c>
      <c r="AK42" s="16">
        <f>SUM(AB43:AB44)</f>
        <v>0</v>
      </c>
    </row>
    <row r="43" spans="1:48" ht="12.75">
      <c r="A43" s="99" t="s">
        <v>15</v>
      </c>
      <c r="B43" s="99" t="s">
        <v>406</v>
      </c>
      <c r="C43" s="99" t="s">
        <v>424</v>
      </c>
      <c r="D43" s="99" t="s">
        <v>804</v>
      </c>
      <c r="E43" s="99" t="s">
        <v>1639</v>
      </c>
      <c r="F43" s="100">
        <v>51.62</v>
      </c>
      <c r="G43" s="100">
        <v>0</v>
      </c>
      <c r="H43" s="100">
        <f>F43*AE43</f>
        <v>0</v>
      </c>
      <c r="I43" s="100">
        <f>J43-H43</f>
        <v>0</v>
      </c>
      <c r="J43" s="100">
        <f>F43*G43</f>
        <v>0</v>
      </c>
      <c r="K43" s="100">
        <v>0</v>
      </c>
      <c r="L43" s="100">
        <f>F43*K43</f>
        <v>0</v>
      </c>
      <c r="M43" s="101" t="s">
        <v>1667</v>
      </c>
      <c r="P43" s="14">
        <f>IF(AG43="5",J43,0)</f>
        <v>0</v>
      </c>
      <c r="R43" s="14">
        <f>IF(AG43="1",H43,0)</f>
        <v>0</v>
      </c>
      <c r="S43" s="14">
        <f>IF(AG43="1",I43,0)</f>
        <v>0</v>
      </c>
      <c r="T43" s="14">
        <f>IF(AG43="7",H43,0)</f>
        <v>0</v>
      </c>
      <c r="U43" s="14">
        <f>IF(AG43="7",I43,0)</f>
        <v>0</v>
      </c>
      <c r="V43" s="14">
        <f>IF(AG43="2",H43,0)</f>
        <v>0</v>
      </c>
      <c r="W43" s="14">
        <f>IF(AG43="2",I43,0)</f>
        <v>0</v>
      </c>
      <c r="X43" s="14">
        <f>IF(AG43="0",J43,0)</f>
        <v>0</v>
      </c>
      <c r="Y43" s="8" t="s">
        <v>406</v>
      </c>
      <c r="Z43" s="5">
        <f>IF(AD43=0,J43,0)</f>
        <v>0</v>
      </c>
      <c r="AA43" s="5">
        <f>IF(AD43=15,J43,0)</f>
        <v>0</v>
      </c>
      <c r="AB43" s="5">
        <f>IF(AD43=21,J43,0)</f>
        <v>0</v>
      </c>
      <c r="AD43" s="14">
        <v>15</v>
      </c>
      <c r="AE43" s="14">
        <f>G43*0</f>
        <v>0</v>
      </c>
      <c r="AF43" s="14">
        <f>G43*(1-0)</f>
        <v>0</v>
      </c>
      <c r="AG43" s="10" t="s">
        <v>7</v>
      </c>
      <c r="AM43" s="14">
        <f>F43*AE43</f>
        <v>0</v>
      </c>
      <c r="AN43" s="14">
        <f>F43*AF43</f>
        <v>0</v>
      </c>
      <c r="AO43" s="15" t="s">
        <v>1684</v>
      </c>
      <c r="AP43" s="15" t="s">
        <v>1726</v>
      </c>
      <c r="AQ43" s="8" t="s">
        <v>1769</v>
      </c>
      <c r="AS43" s="14">
        <f>AM43+AN43</f>
        <v>0</v>
      </c>
      <c r="AT43" s="14">
        <f>G43/(100-AU43)*100</f>
        <v>0</v>
      </c>
      <c r="AU43" s="14">
        <v>0</v>
      </c>
      <c r="AV43" s="14">
        <f>L43</f>
        <v>0</v>
      </c>
    </row>
    <row r="44" spans="1:48" ht="12.75">
      <c r="A44" s="99" t="s">
        <v>16</v>
      </c>
      <c r="B44" s="99" t="s">
        <v>406</v>
      </c>
      <c r="C44" s="99" t="s">
        <v>425</v>
      </c>
      <c r="D44" s="99" t="s">
        <v>805</v>
      </c>
      <c r="E44" s="99" t="s">
        <v>1639</v>
      </c>
      <c r="F44" s="100">
        <v>5.95</v>
      </c>
      <c r="G44" s="100">
        <v>0</v>
      </c>
      <c r="H44" s="100">
        <f>F44*AE44</f>
        <v>0</v>
      </c>
      <c r="I44" s="100">
        <f>J44-H44</f>
        <v>0</v>
      </c>
      <c r="J44" s="100">
        <f>F44*G44</f>
        <v>0</v>
      </c>
      <c r="K44" s="100">
        <v>0</v>
      </c>
      <c r="L44" s="100">
        <f>F44*K44</f>
        <v>0</v>
      </c>
      <c r="M44" s="101" t="s">
        <v>1667</v>
      </c>
      <c r="P44" s="14">
        <f>IF(AG44="5",J44,0)</f>
        <v>0</v>
      </c>
      <c r="R44" s="14">
        <f>IF(AG44="1",H44,0)</f>
        <v>0</v>
      </c>
      <c r="S44" s="14">
        <f>IF(AG44="1",I44,0)</f>
        <v>0</v>
      </c>
      <c r="T44" s="14">
        <f>IF(AG44="7",H44,0)</f>
        <v>0</v>
      </c>
      <c r="U44" s="14">
        <f>IF(AG44="7",I44,0)</f>
        <v>0</v>
      </c>
      <c r="V44" s="14">
        <f>IF(AG44="2",H44,0)</f>
        <v>0</v>
      </c>
      <c r="W44" s="14">
        <f>IF(AG44="2",I44,0)</f>
        <v>0</v>
      </c>
      <c r="X44" s="14">
        <f>IF(AG44="0",J44,0)</f>
        <v>0</v>
      </c>
      <c r="Y44" s="8" t="s">
        <v>406</v>
      </c>
      <c r="Z44" s="5">
        <f>IF(AD44=0,J44,0)</f>
        <v>0</v>
      </c>
      <c r="AA44" s="5">
        <f>IF(AD44=15,J44,0)</f>
        <v>0</v>
      </c>
      <c r="AB44" s="5">
        <f>IF(AD44=21,J44,0)</f>
        <v>0</v>
      </c>
      <c r="AD44" s="14">
        <v>15</v>
      </c>
      <c r="AE44" s="14">
        <f>G44*0</f>
        <v>0</v>
      </c>
      <c r="AF44" s="14">
        <f>G44*(1-0)</f>
        <v>0</v>
      </c>
      <c r="AG44" s="10" t="s">
        <v>7</v>
      </c>
      <c r="AM44" s="14">
        <f>F44*AE44</f>
        <v>0</v>
      </c>
      <c r="AN44" s="14">
        <f>F44*AF44</f>
        <v>0</v>
      </c>
      <c r="AO44" s="15" t="s">
        <v>1684</v>
      </c>
      <c r="AP44" s="15" t="s">
        <v>1726</v>
      </c>
      <c r="AQ44" s="8" t="s">
        <v>1769</v>
      </c>
      <c r="AS44" s="14">
        <f>AM44+AN44</f>
        <v>0</v>
      </c>
      <c r="AT44" s="14">
        <f>G44/(100-AU44)*100</f>
        <v>0</v>
      </c>
      <c r="AU44" s="14">
        <v>0</v>
      </c>
      <c r="AV44" s="14">
        <f>L44</f>
        <v>0</v>
      </c>
    </row>
    <row r="45" spans="1:37" ht="12.75">
      <c r="A45" s="93"/>
      <c r="B45" s="94" t="s">
        <v>406</v>
      </c>
      <c r="C45" s="94" t="s">
        <v>33</v>
      </c>
      <c r="D45" s="95" t="s">
        <v>806</v>
      </c>
      <c r="E45" s="96"/>
      <c r="F45" s="96"/>
      <c r="G45" s="96"/>
      <c r="H45" s="97">
        <f>SUM(H46:H78)</f>
        <v>0</v>
      </c>
      <c r="I45" s="97">
        <f>SUM(I46:I78)</f>
        <v>0</v>
      </c>
      <c r="J45" s="97">
        <f>H45+I45</f>
        <v>0</v>
      </c>
      <c r="K45" s="98"/>
      <c r="L45" s="97">
        <f>SUM(L46:L78)</f>
        <v>140.2275676</v>
      </c>
      <c r="M45" s="98"/>
      <c r="Y45" s="8" t="s">
        <v>406</v>
      </c>
      <c r="AI45" s="16">
        <f>SUM(Z46:Z78)</f>
        <v>0</v>
      </c>
      <c r="AJ45" s="16">
        <f>SUM(AA46:AA78)</f>
        <v>0</v>
      </c>
      <c r="AK45" s="16">
        <f>SUM(AB46:AB78)</f>
        <v>0</v>
      </c>
    </row>
    <row r="46" spans="1:48" ht="12.75">
      <c r="A46" s="99" t="s">
        <v>17</v>
      </c>
      <c r="B46" s="99" t="s">
        <v>406</v>
      </c>
      <c r="C46" s="99" t="s">
        <v>426</v>
      </c>
      <c r="D46" s="99" t="s">
        <v>807</v>
      </c>
      <c r="E46" s="99" t="s">
        <v>1639</v>
      </c>
      <c r="F46" s="100">
        <v>22.1</v>
      </c>
      <c r="G46" s="100">
        <v>0</v>
      </c>
      <c r="H46" s="100">
        <f>F46*AE46</f>
        <v>0</v>
      </c>
      <c r="I46" s="100">
        <f>J46-H46</f>
        <v>0</v>
      </c>
      <c r="J46" s="100">
        <f>F46*G46</f>
        <v>0</v>
      </c>
      <c r="K46" s="100">
        <v>2.525</v>
      </c>
      <c r="L46" s="100">
        <f>F46*K46</f>
        <v>55.8025</v>
      </c>
      <c r="M46" s="101" t="s">
        <v>1667</v>
      </c>
      <c r="P46" s="14">
        <f>IF(AG46="5",J46,0)</f>
        <v>0</v>
      </c>
      <c r="R46" s="14">
        <f>IF(AG46="1",H46,0)</f>
        <v>0</v>
      </c>
      <c r="S46" s="14">
        <f>IF(AG46="1",I46,0)</f>
        <v>0</v>
      </c>
      <c r="T46" s="14">
        <f>IF(AG46="7",H46,0)</f>
        <v>0</v>
      </c>
      <c r="U46" s="14">
        <f>IF(AG46="7",I46,0)</f>
        <v>0</v>
      </c>
      <c r="V46" s="14">
        <f>IF(AG46="2",H46,0)</f>
        <v>0</v>
      </c>
      <c r="W46" s="14">
        <f>IF(AG46="2",I46,0)</f>
        <v>0</v>
      </c>
      <c r="X46" s="14">
        <f>IF(AG46="0",J46,0)</f>
        <v>0</v>
      </c>
      <c r="Y46" s="8" t="s">
        <v>406</v>
      </c>
      <c r="Z46" s="5">
        <f>IF(AD46=0,J46,0)</f>
        <v>0</v>
      </c>
      <c r="AA46" s="5">
        <f>IF(AD46=15,J46,0)</f>
        <v>0</v>
      </c>
      <c r="AB46" s="5">
        <f>IF(AD46=21,J46,0)</f>
        <v>0</v>
      </c>
      <c r="AD46" s="14">
        <v>15</v>
      </c>
      <c r="AE46" s="14">
        <f>G46*0.90135139169037</f>
        <v>0</v>
      </c>
      <c r="AF46" s="14">
        <f>G46*(1-0.90135139169037)</f>
        <v>0</v>
      </c>
      <c r="AG46" s="10" t="s">
        <v>7</v>
      </c>
      <c r="AM46" s="14">
        <f>F46*AE46</f>
        <v>0</v>
      </c>
      <c r="AN46" s="14">
        <f>F46*AF46</f>
        <v>0</v>
      </c>
      <c r="AO46" s="15" t="s">
        <v>1685</v>
      </c>
      <c r="AP46" s="15" t="s">
        <v>1727</v>
      </c>
      <c r="AQ46" s="8" t="s">
        <v>1769</v>
      </c>
      <c r="AS46" s="14">
        <f>AM46+AN46</f>
        <v>0</v>
      </c>
      <c r="AT46" s="14">
        <f>G46/(100-AU46)*100</f>
        <v>0</v>
      </c>
      <c r="AU46" s="14">
        <v>0</v>
      </c>
      <c r="AV46" s="14">
        <f>L46</f>
        <v>55.8025</v>
      </c>
    </row>
    <row r="47" spans="1:13" ht="12.75">
      <c r="A47" s="102"/>
      <c r="B47" s="102"/>
      <c r="C47" s="102"/>
      <c r="D47" s="103" t="s">
        <v>808</v>
      </c>
      <c r="E47" s="102"/>
      <c r="F47" s="104">
        <v>8.09</v>
      </c>
      <c r="G47" s="102"/>
      <c r="H47" s="102"/>
      <c r="I47" s="102"/>
      <c r="J47" s="102"/>
      <c r="K47" s="102"/>
      <c r="L47" s="102"/>
      <c r="M47" s="102"/>
    </row>
    <row r="48" spans="1:13" ht="12.75">
      <c r="A48" s="102"/>
      <c r="B48" s="102"/>
      <c r="C48" s="102"/>
      <c r="D48" s="103" t="s">
        <v>809</v>
      </c>
      <c r="E48" s="102"/>
      <c r="F48" s="104">
        <v>3.73</v>
      </c>
      <c r="G48" s="102"/>
      <c r="H48" s="102"/>
      <c r="I48" s="102"/>
      <c r="J48" s="102"/>
      <c r="K48" s="102"/>
      <c r="L48" s="102"/>
      <c r="M48" s="102"/>
    </row>
    <row r="49" spans="1:13" ht="12.75">
      <c r="A49" s="102"/>
      <c r="B49" s="102"/>
      <c r="C49" s="102"/>
      <c r="D49" s="103" t="s">
        <v>810</v>
      </c>
      <c r="E49" s="102"/>
      <c r="F49" s="104">
        <v>2.17</v>
      </c>
      <c r="G49" s="102"/>
      <c r="H49" s="102"/>
      <c r="I49" s="102"/>
      <c r="J49" s="102"/>
      <c r="K49" s="102"/>
      <c r="L49" s="102"/>
      <c r="M49" s="102"/>
    </row>
    <row r="50" spans="1:13" ht="12.75">
      <c r="A50" s="102"/>
      <c r="B50" s="102"/>
      <c r="C50" s="102"/>
      <c r="D50" s="103" t="s">
        <v>811</v>
      </c>
      <c r="E50" s="102"/>
      <c r="F50" s="104">
        <v>3.22</v>
      </c>
      <c r="G50" s="102"/>
      <c r="H50" s="102"/>
      <c r="I50" s="102"/>
      <c r="J50" s="102"/>
      <c r="K50" s="102"/>
      <c r="L50" s="102"/>
      <c r="M50" s="102"/>
    </row>
    <row r="51" spans="1:13" ht="12.75">
      <c r="A51" s="102"/>
      <c r="B51" s="102"/>
      <c r="C51" s="102"/>
      <c r="D51" s="103" t="s">
        <v>812</v>
      </c>
      <c r="E51" s="102"/>
      <c r="F51" s="104">
        <v>4.28</v>
      </c>
      <c r="G51" s="102"/>
      <c r="H51" s="102"/>
      <c r="I51" s="102"/>
      <c r="J51" s="102"/>
      <c r="K51" s="102"/>
      <c r="L51" s="102"/>
      <c r="M51" s="102"/>
    </row>
    <row r="52" spans="1:13" ht="12.75">
      <c r="A52" s="102"/>
      <c r="B52" s="102"/>
      <c r="C52" s="102"/>
      <c r="D52" s="103" t="s">
        <v>813</v>
      </c>
      <c r="E52" s="102"/>
      <c r="F52" s="104">
        <v>0.2</v>
      </c>
      <c r="G52" s="102"/>
      <c r="H52" s="102"/>
      <c r="I52" s="102"/>
      <c r="J52" s="102"/>
      <c r="K52" s="102"/>
      <c r="L52" s="102"/>
      <c r="M52" s="102"/>
    </row>
    <row r="53" spans="1:13" ht="12.75">
      <c r="A53" s="102"/>
      <c r="B53" s="102"/>
      <c r="C53" s="102"/>
      <c r="D53" s="103" t="s">
        <v>814</v>
      </c>
      <c r="E53" s="102"/>
      <c r="F53" s="104">
        <v>0.41</v>
      </c>
      <c r="G53" s="102"/>
      <c r="H53" s="102"/>
      <c r="I53" s="102"/>
      <c r="J53" s="102"/>
      <c r="K53" s="102"/>
      <c r="L53" s="102"/>
      <c r="M53" s="102"/>
    </row>
    <row r="54" spans="1:48" ht="12.75">
      <c r="A54" s="99" t="s">
        <v>18</v>
      </c>
      <c r="B54" s="99" t="s">
        <v>406</v>
      </c>
      <c r="C54" s="99" t="s">
        <v>427</v>
      </c>
      <c r="D54" s="99" t="s">
        <v>815</v>
      </c>
      <c r="E54" s="99" t="s">
        <v>1640</v>
      </c>
      <c r="F54" s="100">
        <v>21</v>
      </c>
      <c r="G54" s="100">
        <v>0</v>
      </c>
      <c r="H54" s="100">
        <f>F54*AE54</f>
        <v>0</v>
      </c>
      <c r="I54" s="100">
        <f>J54-H54</f>
        <v>0</v>
      </c>
      <c r="J54" s="100">
        <f>F54*G54</f>
        <v>0</v>
      </c>
      <c r="K54" s="100">
        <v>0.03634</v>
      </c>
      <c r="L54" s="100">
        <f>F54*K54</f>
        <v>0.7631399999999999</v>
      </c>
      <c r="M54" s="101" t="s">
        <v>1667</v>
      </c>
      <c r="P54" s="14">
        <f>IF(AG54="5",J54,0)</f>
        <v>0</v>
      </c>
      <c r="R54" s="14">
        <f>IF(AG54="1",H54,0)</f>
        <v>0</v>
      </c>
      <c r="S54" s="14">
        <f>IF(AG54="1",I54,0)</f>
        <v>0</v>
      </c>
      <c r="T54" s="14">
        <f>IF(AG54="7",H54,0)</f>
        <v>0</v>
      </c>
      <c r="U54" s="14">
        <f>IF(AG54="7",I54,0)</f>
        <v>0</v>
      </c>
      <c r="V54" s="14">
        <f>IF(AG54="2",H54,0)</f>
        <v>0</v>
      </c>
      <c r="W54" s="14">
        <f>IF(AG54="2",I54,0)</f>
        <v>0</v>
      </c>
      <c r="X54" s="14">
        <f>IF(AG54="0",J54,0)</f>
        <v>0</v>
      </c>
      <c r="Y54" s="8" t="s">
        <v>406</v>
      </c>
      <c r="Z54" s="5">
        <f>IF(AD54=0,J54,0)</f>
        <v>0</v>
      </c>
      <c r="AA54" s="5">
        <f>IF(AD54=15,J54,0)</f>
        <v>0</v>
      </c>
      <c r="AB54" s="5">
        <f>IF(AD54=21,J54,0)</f>
        <v>0</v>
      </c>
      <c r="AD54" s="14">
        <v>15</v>
      </c>
      <c r="AE54" s="14">
        <f>G54*0.698845401174168</f>
        <v>0</v>
      </c>
      <c r="AF54" s="14">
        <f>G54*(1-0.698845401174168)</f>
        <v>0</v>
      </c>
      <c r="AG54" s="10" t="s">
        <v>7</v>
      </c>
      <c r="AM54" s="14">
        <f>F54*AE54</f>
        <v>0</v>
      </c>
      <c r="AN54" s="14">
        <f>F54*AF54</f>
        <v>0</v>
      </c>
      <c r="AO54" s="15" t="s">
        <v>1685</v>
      </c>
      <c r="AP54" s="15" t="s">
        <v>1727</v>
      </c>
      <c r="AQ54" s="8" t="s">
        <v>1769</v>
      </c>
      <c r="AS54" s="14">
        <f>AM54+AN54</f>
        <v>0</v>
      </c>
      <c r="AT54" s="14">
        <f>G54/(100-AU54)*100</f>
        <v>0</v>
      </c>
      <c r="AU54" s="14">
        <v>0</v>
      </c>
      <c r="AV54" s="14">
        <f>L54</f>
        <v>0.7631399999999999</v>
      </c>
    </row>
    <row r="55" spans="1:13" ht="12.75">
      <c r="A55" s="102"/>
      <c r="B55" s="102"/>
      <c r="C55" s="102"/>
      <c r="D55" s="103" t="s">
        <v>27</v>
      </c>
      <c r="E55" s="102"/>
      <c r="F55" s="104">
        <v>21</v>
      </c>
      <c r="G55" s="102"/>
      <c r="H55" s="102"/>
      <c r="I55" s="102"/>
      <c r="J55" s="102"/>
      <c r="K55" s="102"/>
      <c r="L55" s="102"/>
      <c r="M55" s="102"/>
    </row>
    <row r="56" spans="1:48" ht="12.75">
      <c r="A56" s="99" t="s">
        <v>19</v>
      </c>
      <c r="B56" s="99" t="s">
        <v>406</v>
      </c>
      <c r="C56" s="99" t="s">
        <v>428</v>
      </c>
      <c r="D56" s="99" t="s">
        <v>816</v>
      </c>
      <c r="E56" s="99" t="s">
        <v>1640</v>
      </c>
      <c r="F56" s="100">
        <v>21</v>
      </c>
      <c r="G56" s="100">
        <v>0</v>
      </c>
      <c r="H56" s="100">
        <f>F56*AE56</f>
        <v>0</v>
      </c>
      <c r="I56" s="100">
        <f>J56-H56</f>
        <v>0</v>
      </c>
      <c r="J56" s="100">
        <f>F56*G56</f>
        <v>0</v>
      </c>
      <c r="K56" s="100">
        <v>0</v>
      </c>
      <c r="L56" s="100">
        <f>F56*K56</f>
        <v>0</v>
      </c>
      <c r="M56" s="101" t="s">
        <v>1667</v>
      </c>
      <c r="P56" s="14">
        <f>IF(AG56="5",J56,0)</f>
        <v>0</v>
      </c>
      <c r="R56" s="14">
        <f>IF(AG56="1",H56,0)</f>
        <v>0</v>
      </c>
      <c r="S56" s="14">
        <f>IF(AG56="1",I56,0)</f>
        <v>0</v>
      </c>
      <c r="T56" s="14">
        <f>IF(AG56="7",H56,0)</f>
        <v>0</v>
      </c>
      <c r="U56" s="14">
        <f>IF(AG56="7",I56,0)</f>
        <v>0</v>
      </c>
      <c r="V56" s="14">
        <f>IF(AG56="2",H56,0)</f>
        <v>0</v>
      </c>
      <c r="W56" s="14">
        <f>IF(AG56="2",I56,0)</f>
        <v>0</v>
      </c>
      <c r="X56" s="14">
        <f>IF(AG56="0",J56,0)</f>
        <v>0</v>
      </c>
      <c r="Y56" s="8" t="s">
        <v>406</v>
      </c>
      <c r="Z56" s="5">
        <f>IF(AD56=0,J56,0)</f>
        <v>0</v>
      </c>
      <c r="AA56" s="5">
        <f>IF(AD56=15,J56,0)</f>
        <v>0</v>
      </c>
      <c r="AB56" s="5">
        <f>IF(AD56=21,J56,0)</f>
        <v>0</v>
      </c>
      <c r="AD56" s="14">
        <v>15</v>
      </c>
      <c r="AE56" s="14">
        <f>G56*0</f>
        <v>0</v>
      </c>
      <c r="AF56" s="14">
        <f>G56*(1-0)</f>
        <v>0</v>
      </c>
      <c r="AG56" s="10" t="s">
        <v>7</v>
      </c>
      <c r="AM56" s="14">
        <f>F56*AE56</f>
        <v>0</v>
      </c>
      <c r="AN56" s="14">
        <f>F56*AF56</f>
        <v>0</v>
      </c>
      <c r="AO56" s="15" t="s">
        <v>1685</v>
      </c>
      <c r="AP56" s="15" t="s">
        <v>1727</v>
      </c>
      <c r="AQ56" s="8" t="s">
        <v>1769</v>
      </c>
      <c r="AS56" s="14">
        <f>AM56+AN56</f>
        <v>0</v>
      </c>
      <c r="AT56" s="14">
        <f>G56/(100-AU56)*100</f>
        <v>0</v>
      </c>
      <c r="AU56" s="14">
        <v>0</v>
      </c>
      <c r="AV56" s="14">
        <f>L56</f>
        <v>0</v>
      </c>
    </row>
    <row r="57" spans="1:48" ht="12.75">
      <c r="A57" s="99" t="s">
        <v>20</v>
      </c>
      <c r="B57" s="99" t="s">
        <v>406</v>
      </c>
      <c r="C57" s="99" t="s">
        <v>429</v>
      </c>
      <c r="D57" s="99" t="s">
        <v>817</v>
      </c>
      <c r="E57" s="99" t="s">
        <v>1641</v>
      </c>
      <c r="F57" s="100">
        <v>1</v>
      </c>
      <c r="G57" s="100">
        <v>0</v>
      </c>
      <c r="H57" s="100">
        <f>F57*AE57</f>
        <v>0</v>
      </c>
      <c r="I57" s="100">
        <f>J57-H57</f>
        <v>0</v>
      </c>
      <c r="J57" s="100">
        <f>F57*G57</f>
        <v>0</v>
      </c>
      <c r="K57" s="100">
        <v>0.00303</v>
      </c>
      <c r="L57" s="100">
        <f>F57*K57</f>
        <v>0.00303</v>
      </c>
      <c r="M57" s="101" t="s">
        <v>1667</v>
      </c>
      <c r="P57" s="14">
        <f>IF(AG57="5",J57,0)</f>
        <v>0</v>
      </c>
      <c r="R57" s="14">
        <f>IF(AG57="1",H57,0)</f>
        <v>0</v>
      </c>
      <c r="S57" s="14">
        <f>IF(AG57="1",I57,0)</f>
        <v>0</v>
      </c>
      <c r="T57" s="14">
        <f>IF(AG57="7",H57,0)</f>
        <v>0</v>
      </c>
      <c r="U57" s="14">
        <f>IF(AG57="7",I57,0)</f>
        <v>0</v>
      </c>
      <c r="V57" s="14">
        <f>IF(AG57="2",H57,0)</f>
        <v>0</v>
      </c>
      <c r="W57" s="14">
        <f>IF(AG57="2",I57,0)</f>
        <v>0</v>
      </c>
      <c r="X57" s="14">
        <f>IF(AG57="0",J57,0)</f>
        <v>0</v>
      </c>
      <c r="Y57" s="8" t="s">
        <v>406</v>
      </c>
      <c r="Z57" s="5">
        <f>IF(AD57=0,J57,0)</f>
        <v>0</v>
      </c>
      <c r="AA57" s="5">
        <f>IF(AD57=15,J57,0)</f>
        <v>0</v>
      </c>
      <c r="AB57" s="5">
        <f>IF(AD57=21,J57,0)</f>
        <v>0</v>
      </c>
      <c r="AD57" s="14">
        <v>15</v>
      </c>
      <c r="AE57" s="14">
        <f>G57*0.668090787716956</f>
        <v>0</v>
      </c>
      <c r="AF57" s="14">
        <f>G57*(1-0.668090787716956)</f>
        <v>0</v>
      </c>
      <c r="AG57" s="10" t="s">
        <v>7</v>
      </c>
      <c r="AM57" s="14">
        <f>F57*AE57</f>
        <v>0</v>
      </c>
      <c r="AN57" s="14">
        <f>F57*AF57</f>
        <v>0</v>
      </c>
      <c r="AO57" s="15" t="s">
        <v>1685</v>
      </c>
      <c r="AP57" s="15" t="s">
        <v>1727</v>
      </c>
      <c r="AQ57" s="8" t="s">
        <v>1769</v>
      </c>
      <c r="AS57" s="14">
        <f>AM57+AN57</f>
        <v>0</v>
      </c>
      <c r="AT57" s="14">
        <f>G57/(100-AU57)*100</f>
        <v>0</v>
      </c>
      <c r="AU57" s="14">
        <v>0</v>
      </c>
      <c r="AV57" s="14">
        <f>L57</f>
        <v>0.00303</v>
      </c>
    </row>
    <row r="58" spans="1:48" ht="12.75">
      <c r="A58" s="99" t="s">
        <v>21</v>
      </c>
      <c r="B58" s="99" t="s">
        <v>406</v>
      </c>
      <c r="C58" s="99" t="s">
        <v>430</v>
      </c>
      <c r="D58" s="99" t="s">
        <v>818</v>
      </c>
      <c r="E58" s="99" t="s">
        <v>1639</v>
      </c>
      <c r="F58" s="100">
        <v>13.77</v>
      </c>
      <c r="G58" s="100">
        <v>0</v>
      </c>
      <c r="H58" s="100">
        <f>F58*AE58</f>
        <v>0</v>
      </c>
      <c r="I58" s="100">
        <f>J58-H58</f>
        <v>0</v>
      </c>
      <c r="J58" s="100">
        <f>F58*G58</f>
        <v>0</v>
      </c>
      <c r="K58" s="100">
        <v>1.78164</v>
      </c>
      <c r="L58" s="100">
        <f>F58*K58</f>
        <v>24.5331828</v>
      </c>
      <c r="M58" s="101" t="s">
        <v>1667</v>
      </c>
      <c r="P58" s="14">
        <f>IF(AG58="5",J58,0)</f>
        <v>0</v>
      </c>
      <c r="R58" s="14">
        <f>IF(AG58="1",H58,0)</f>
        <v>0</v>
      </c>
      <c r="S58" s="14">
        <f>IF(AG58="1",I58,0)</f>
        <v>0</v>
      </c>
      <c r="T58" s="14">
        <f>IF(AG58="7",H58,0)</f>
        <v>0</v>
      </c>
      <c r="U58" s="14">
        <f>IF(AG58="7",I58,0)</f>
        <v>0</v>
      </c>
      <c r="V58" s="14">
        <f>IF(AG58="2",H58,0)</f>
        <v>0</v>
      </c>
      <c r="W58" s="14">
        <f>IF(AG58="2",I58,0)</f>
        <v>0</v>
      </c>
      <c r="X58" s="14">
        <f>IF(AG58="0",J58,0)</f>
        <v>0</v>
      </c>
      <c r="Y58" s="8" t="s">
        <v>406</v>
      </c>
      <c r="Z58" s="5">
        <f>IF(AD58=0,J58,0)</f>
        <v>0</v>
      </c>
      <c r="AA58" s="5">
        <f>IF(AD58=15,J58,0)</f>
        <v>0</v>
      </c>
      <c r="AB58" s="5">
        <f>IF(AD58=21,J58,0)</f>
        <v>0</v>
      </c>
      <c r="AD58" s="14">
        <v>15</v>
      </c>
      <c r="AE58" s="14">
        <f>G58*0.645061755071349</f>
        <v>0</v>
      </c>
      <c r="AF58" s="14">
        <f>G58*(1-0.645061755071349)</f>
        <v>0</v>
      </c>
      <c r="AG58" s="10" t="s">
        <v>7</v>
      </c>
      <c r="AM58" s="14">
        <f>F58*AE58</f>
        <v>0</v>
      </c>
      <c r="AN58" s="14">
        <f>F58*AF58</f>
        <v>0</v>
      </c>
      <c r="AO58" s="15" t="s">
        <v>1685</v>
      </c>
      <c r="AP58" s="15" t="s">
        <v>1727</v>
      </c>
      <c r="AQ58" s="8" t="s">
        <v>1769</v>
      </c>
      <c r="AS58" s="14">
        <f>AM58+AN58</f>
        <v>0</v>
      </c>
      <c r="AT58" s="14">
        <f>G58/(100-AU58)*100</f>
        <v>0</v>
      </c>
      <c r="AU58" s="14">
        <v>0</v>
      </c>
      <c r="AV58" s="14">
        <f>L58</f>
        <v>24.5331828</v>
      </c>
    </row>
    <row r="59" spans="1:13" ht="12.75">
      <c r="A59" s="102"/>
      <c r="B59" s="102"/>
      <c r="C59" s="102"/>
      <c r="D59" s="103" t="s">
        <v>819</v>
      </c>
      <c r="E59" s="102"/>
      <c r="F59" s="104">
        <v>7</v>
      </c>
      <c r="G59" s="102"/>
      <c r="H59" s="102"/>
      <c r="I59" s="102"/>
      <c r="J59" s="102"/>
      <c r="K59" s="102"/>
      <c r="L59" s="102"/>
      <c r="M59" s="102"/>
    </row>
    <row r="60" spans="1:13" ht="12.75">
      <c r="A60" s="102"/>
      <c r="B60" s="102"/>
      <c r="C60" s="102"/>
      <c r="D60" s="103" t="s">
        <v>820</v>
      </c>
      <c r="E60" s="102"/>
      <c r="F60" s="104">
        <v>-0.04</v>
      </c>
      <c r="G60" s="102"/>
      <c r="H60" s="102"/>
      <c r="I60" s="102"/>
      <c r="J60" s="102"/>
      <c r="K60" s="102"/>
      <c r="L60" s="102"/>
      <c r="M60" s="102"/>
    </row>
    <row r="61" spans="1:13" ht="12.75">
      <c r="A61" s="102"/>
      <c r="B61" s="102"/>
      <c r="C61" s="102"/>
      <c r="D61" s="103" t="s">
        <v>821</v>
      </c>
      <c r="E61" s="102"/>
      <c r="F61" s="104">
        <v>3.15</v>
      </c>
      <c r="G61" s="102"/>
      <c r="H61" s="102"/>
      <c r="I61" s="102"/>
      <c r="J61" s="102"/>
      <c r="K61" s="102"/>
      <c r="L61" s="102"/>
      <c r="M61" s="102"/>
    </row>
    <row r="62" spans="1:13" ht="12.75">
      <c r="A62" s="102"/>
      <c r="B62" s="102"/>
      <c r="C62" s="102"/>
      <c r="D62" s="103" t="s">
        <v>822</v>
      </c>
      <c r="E62" s="102"/>
      <c r="F62" s="104">
        <v>3.66</v>
      </c>
      <c r="G62" s="102"/>
      <c r="H62" s="102"/>
      <c r="I62" s="102"/>
      <c r="J62" s="102"/>
      <c r="K62" s="102"/>
      <c r="L62" s="102"/>
      <c r="M62" s="102"/>
    </row>
    <row r="63" spans="1:48" ht="12.75">
      <c r="A63" s="99" t="s">
        <v>22</v>
      </c>
      <c r="B63" s="99" t="s">
        <v>406</v>
      </c>
      <c r="C63" s="99" t="s">
        <v>431</v>
      </c>
      <c r="D63" s="99" t="s">
        <v>823</v>
      </c>
      <c r="E63" s="99" t="s">
        <v>1640</v>
      </c>
      <c r="F63" s="100">
        <v>31.44</v>
      </c>
      <c r="G63" s="100">
        <v>0</v>
      </c>
      <c r="H63" s="100">
        <f>F63*AE63</f>
        <v>0</v>
      </c>
      <c r="I63" s="100">
        <f>J63-H63</f>
        <v>0</v>
      </c>
      <c r="J63" s="100">
        <f>F63*G63</f>
        <v>0</v>
      </c>
      <c r="K63" s="100">
        <v>0.963</v>
      </c>
      <c r="L63" s="100">
        <f>F63*K63</f>
        <v>30.27672</v>
      </c>
      <c r="M63" s="101" t="s">
        <v>1667</v>
      </c>
      <c r="P63" s="14">
        <f>IF(AG63="5",J63,0)</f>
        <v>0</v>
      </c>
      <c r="R63" s="14">
        <f>IF(AG63="1",H63,0)</f>
        <v>0</v>
      </c>
      <c r="S63" s="14">
        <f>IF(AG63="1",I63,0)</f>
        <v>0</v>
      </c>
      <c r="T63" s="14">
        <f>IF(AG63="7",H63,0)</f>
        <v>0</v>
      </c>
      <c r="U63" s="14">
        <f>IF(AG63="7",I63,0)</f>
        <v>0</v>
      </c>
      <c r="V63" s="14">
        <f>IF(AG63="2",H63,0)</f>
        <v>0</v>
      </c>
      <c r="W63" s="14">
        <f>IF(AG63="2",I63,0)</f>
        <v>0</v>
      </c>
      <c r="X63" s="14">
        <f>IF(AG63="0",J63,0)</f>
        <v>0</v>
      </c>
      <c r="Y63" s="8" t="s">
        <v>406</v>
      </c>
      <c r="Z63" s="5">
        <f>IF(AD63=0,J63,0)</f>
        <v>0</v>
      </c>
      <c r="AA63" s="5">
        <f>IF(AD63=15,J63,0)</f>
        <v>0</v>
      </c>
      <c r="AB63" s="5">
        <f>IF(AD63=21,J63,0)</f>
        <v>0</v>
      </c>
      <c r="AD63" s="14">
        <v>15</v>
      </c>
      <c r="AE63" s="14">
        <f>G63*0.697036011080333</f>
        <v>0</v>
      </c>
      <c r="AF63" s="14">
        <f>G63*(1-0.697036011080333)</f>
        <v>0</v>
      </c>
      <c r="AG63" s="10" t="s">
        <v>7</v>
      </c>
      <c r="AM63" s="14">
        <f>F63*AE63</f>
        <v>0</v>
      </c>
      <c r="AN63" s="14">
        <f>F63*AF63</f>
        <v>0</v>
      </c>
      <c r="AO63" s="15" t="s">
        <v>1685</v>
      </c>
      <c r="AP63" s="15" t="s">
        <v>1727</v>
      </c>
      <c r="AQ63" s="8" t="s">
        <v>1769</v>
      </c>
      <c r="AS63" s="14">
        <f>AM63+AN63</f>
        <v>0</v>
      </c>
      <c r="AT63" s="14">
        <f>G63/(100-AU63)*100</f>
        <v>0</v>
      </c>
      <c r="AU63" s="14">
        <v>0</v>
      </c>
      <c r="AV63" s="14">
        <f>L63</f>
        <v>30.27672</v>
      </c>
    </row>
    <row r="64" spans="1:13" ht="12.75">
      <c r="A64" s="102"/>
      <c r="B64" s="102"/>
      <c r="C64" s="102"/>
      <c r="D64" s="103" t="s">
        <v>824</v>
      </c>
      <c r="E64" s="102"/>
      <c r="F64" s="104">
        <v>11.9</v>
      </c>
      <c r="G64" s="102"/>
      <c r="H64" s="102"/>
      <c r="I64" s="102"/>
      <c r="J64" s="102"/>
      <c r="K64" s="102"/>
      <c r="L64" s="102"/>
      <c r="M64" s="102"/>
    </row>
    <row r="65" spans="1:13" ht="12.75">
      <c r="A65" s="102"/>
      <c r="B65" s="102"/>
      <c r="C65" s="102"/>
      <c r="D65" s="103" t="s">
        <v>825</v>
      </c>
      <c r="E65" s="102"/>
      <c r="F65" s="104">
        <v>2.67</v>
      </c>
      <c r="G65" s="102"/>
      <c r="H65" s="102"/>
      <c r="I65" s="102"/>
      <c r="J65" s="102"/>
      <c r="K65" s="102"/>
      <c r="L65" s="102"/>
      <c r="M65" s="102"/>
    </row>
    <row r="66" spans="1:13" ht="12.75">
      <c r="A66" s="102"/>
      <c r="B66" s="102"/>
      <c r="C66" s="102"/>
      <c r="D66" s="103" t="s">
        <v>826</v>
      </c>
      <c r="E66" s="102"/>
      <c r="F66" s="104">
        <v>2.88</v>
      </c>
      <c r="G66" s="102"/>
      <c r="H66" s="102"/>
      <c r="I66" s="102"/>
      <c r="J66" s="102"/>
      <c r="K66" s="102"/>
      <c r="L66" s="102"/>
      <c r="M66" s="102"/>
    </row>
    <row r="67" spans="1:13" ht="12.75">
      <c r="A67" s="102"/>
      <c r="B67" s="102"/>
      <c r="C67" s="102"/>
      <c r="D67" s="103" t="s">
        <v>827</v>
      </c>
      <c r="E67" s="102"/>
      <c r="F67" s="104">
        <v>9.21</v>
      </c>
      <c r="G67" s="102"/>
      <c r="H67" s="102"/>
      <c r="I67" s="102"/>
      <c r="J67" s="102"/>
      <c r="K67" s="102"/>
      <c r="L67" s="102"/>
      <c r="M67" s="102"/>
    </row>
    <row r="68" spans="1:13" ht="12.75">
      <c r="A68" s="102"/>
      <c r="B68" s="102"/>
      <c r="C68" s="102"/>
      <c r="D68" s="103" t="s">
        <v>828</v>
      </c>
      <c r="E68" s="102"/>
      <c r="F68" s="104">
        <v>4.38</v>
      </c>
      <c r="G68" s="102"/>
      <c r="H68" s="102"/>
      <c r="I68" s="102"/>
      <c r="J68" s="102"/>
      <c r="K68" s="102"/>
      <c r="L68" s="102"/>
      <c r="M68" s="102"/>
    </row>
    <row r="69" spans="1:13" ht="12.75">
      <c r="A69" s="102"/>
      <c r="B69" s="102"/>
      <c r="C69" s="102"/>
      <c r="D69" s="103" t="s">
        <v>829</v>
      </c>
      <c r="E69" s="102"/>
      <c r="F69" s="104">
        <v>0.4</v>
      </c>
      <c r="G69" s="102"/>
      <c r="H69" s="102"/>
      <c r="I69" s="102"/>
      <c r="J69" s="102"/>
      <c r="K69" s="102"/>
      <c r="L69" s="102"/>
      <c r="M69" s="102"/>
    </row>
    <row r="70" spans="1:48" ht="12.75">
      <c r="A70" s="99" t="s">
        <v>23</v>
      </c>
      <c r="B70" s="99" t="s">
        <v>406</v>
      </c>
      <c r="C70" s="99" t="s">
        <v>432</v>
      </c>
      <c r="D70" s="99" t="s">
        <v>830</v>
      </c>
      <c r="E70" s="99" t="s">
        <v>1642</v>
      </c>
      <c r="F70" s="100">
        <v>0.27</v>
      </c>
      <c r="G70" s="100">
        <v>0</v>
      </c>
      <c r="H70" s="100">
        <f>F70*AE70</f>
        <v>0</v>
      </c>
      <c r="I70" s="100">
        <f>J70-H70</f>
        <v>0</v>
      </c>
      <c r="J70" s="100">
        <f>F70*G70</f>
        <v>0</v>
      </c>
      <c r="K70" s="100">
        <v>1.02116</v>
      </c>
      <c r="L70" s="100">
        <f>F70*K70</f>
        <v>0.27571320000000005</v>
      </c>
      <c r="M70" s="101" t="s">
        <v>1667</v>
      </c>
      <c r="P70" s="14">
        <f>IF(AG70="5",J70,0)</f>
        <v>0</v>
      </c>
      <c r="R70" s="14">
        <f>IF(AG70="1",H70,0)</f>
        <v>0</v>
      </c>
      <c r="S70" s="14">
        <f>IF(AG70="1",I70,0)</f>
        <v>0</v>
      </c>
      <c r="T70" s="14">
        <f>IF(AG70="7",H70,0)</f>
        <v>0</v>
      </c>
      <c r="U70" s="14">
        <f>IF(AG70="7",I70,0)</f>
        <v>0</v>
      </c>
      <c r="V70" s="14">
        <f>IF(AG70="2",H70,0)</f>
        <v>0</v>
      </c>
      <c r="W70" s="14">
        <f>IF(AG70="2",I70,0)</f>
        <v>0</v>
      </c>
      <c r="X70" s="14">
        <f>IF(AG70="0",J70,0)</f>
        <v>0</v>
      </c>
      <c r="Y70" s="8" t="s">
        <v>406</v>
      </c>
      <c r="Z70" s="5">
        <f>IF(AD70=0,J70,0)</f>
        <v>0</v>
      </c>
      <c r="AA70" s="5">
        <f>IF(AD70=15,J70,0)</f>
        <v>0</v>
      </c>
      <c r="AB70" s="5">
        <f>IF(AD70=21,J70,0)</f>
        <v>0</v>
      </c>
      <c r="AD70" s="14">
        <v>15</v>
      </c>
      <c r="AE70" s="14">
        <f>G70*0.700833073808782</f>
        <v>0</v>
      </c>
      <c r="AF70" s="14">
        <f>G70*(1-0.700833073808782)</f>
        <v>0</v>
      </c>
      <c r="AG70" s="10" t="s">
        <v>7</v>
      </c>
      <c r="AM70" s="14">
        <f>F70*AE70</f>
        <v>0</v>
      </c>
      <c r="AN70" s="14">
        <f>F70*AF70</f>
        <v>0</v>
      </c>
      <c r="AO70" s="15" t="s">
        <v>1685</v>
      </c>
      <c r="AP70" s="15" t="s">
        <v>1727</v>
      </c>
      <c r="AQ70" s="8" t="s">
        <v>1769</v>
      </c>
      <c r="AS70" s="14">
        <f>AM70+AN70</f>
        <v>0</v>
      </c>
      <c r="AT70" s="14">
        <f>G70/(100-AU70)*100</f>
        <v>0</v>
      </c>
      <c r="AU70" s="14">
        <v>0</v>
      </c>
      <c r="AV70" s="14">
        <f>L70</f>
        <v>0.27571320000000005</v>
      </c>
    </row>
    <row r="71" spans="1:48" ht="12.75">
      <c r="A71" s="99" t="s">
        <v>24</v>
      </c>
      <c r="B71" s="99" t="s">
        <v>406</v>
      </c>
      <c r="C71" s="99" t="s">
        <v>433</v>
      </c>
      <c r="D71" s="99" t="s">
        <v>831</v>
      </c>
      <c r="E71" s="99" t="s">
        <v>1639</v>
      </c>
      <c r="F71" s="100">
        <v>11.03</v>
      </c>
      <c r="G71" s="100">
        <v>0</v>
      </c>
      <c r="H71" s="100">
        <f>F71*AE71</f>
        <v>0</v>
      </c>
      <c r="I71" s="100">
        <f>J71-H71</f>
        <v>0</v>
      </c>
      <c r="J71" s="100">
        <f>F71*G71</f>
        <v>0</v>
      </c>
      <c r="K71" s="100">
        <v>2.525</v>
      </c>
      <c r="L71" s="100">
        <f>F71*K71</f>
        <v>27.850749999999998</v>
      </c>
      <c r="M71" s="101" t="s">
        <v>1667</v>
      </c>
      <c r="P71" s="14">
        <f>IF(AG71="5",J71,0)</f>
        <v>0</v>
      </c>
      <c r="R71" s="14">
        <f>IF(AG71="1",H71,0)</f>
        <v>0</v>
      </c>
      <c r="S71" s="14">
        <f>IF(AG71="1",I71,0)</f>
        <v>0</v>
      </c>
      <c r="T71" s="14">
        <f>IF(AG71="7",H71,0)</f>
        <v>0</v>
      </c>
      <c r="U71" s="14">
        <f>IF(AG71="7",I71,0)</f>
        <v>0</v>
      </c>
      <c r="V71" s="14">
        <f>IF(AG71="2",H71,0)</f>
        <v>0</v>
      </c>
      <c r="W71" s="14">
        <f>IF(AG71="2",I71,0)</f>
        <v>0</v>
      </c>
      <c r="X71" s="14">
        <f>IF(AG71="0",J71,0)</f>
        <v>0</v>
      </c>
      <c r="Y71" s="8" t="s">
        <v>406</v>
      </c>
      <c r="Z71" s="5">
        <f>IF(AD71=0,J71,0)</f>
        <v>0</v>
      </c>
      <c r="AA71" s="5">
        <f>IF(AD71=15,J71,0)</f>
        <v>0</v>
      </c>
      <c r="AB71" s="5">
        <f>IF(AD71=21,J71,0)</f>
        <v>0</v>
      </c>
      <c r="AD71" s="14">
        <v>15</v>
      </c>
      <c r="AE71" s="14">
        <f>G71*0.90135139169037</f>
        <v>0</v>
      </c>
      <c r="AF71" s="14">
        <f>G71*(1-0.90135139169037)</f>
        <v>0</v>
      </c>
      <c r="AG71" s="10" t="s">
        <v>7</v>
      </c>
      <c r="AM71" s="14">
        <f>F71*AE71</f>
        <v>0</v>
      </c>
      <c r="AN71" s="14">
        <f>F71*AF71</f>
        <v>0</v>
      </c>
      <c r="AO71" s="15" t="s">
        <v>1685</v>
      </c>
      <c r="AP71" s="15" t="s">
        <v>1727</v>
      </c>
      <c r="AQ71" s="8" t="s">
        <v>1769</v>
      </c>
      <c r="AS71" s="14">
        <f>AM71+AN71</f>
        <v>0</v>
      </c>
      <c r="AT71" s="14">
        <f>G71/(100-AU71)*100</f>
        <v>0</v>
      </c>
      <c r="AU71" s="14">
        <v>0</v>
      </c>
      <c r="AV71" s="14">
        <f>L71</f>
        <v>27.850749999999998</v>
      </c>
    </row>
    <row r="72" spans="1:13" ht="12.75">
      <c r="A72" s="102"/>
      <c r="B72" s="102"/>
      <c r="C72" s="102"/>
      <c r="D72" s="103" t="s">
        <v>832</v>
      </c>
      <c r="E72" s="102"/>
      <c r="F72" s="104">
        <v>11.03</v>
      </c>
      <c r="G72" s="102"/>
      <c r="H72" s="102"/>
      <c r="I72" s="102"/>
      <c r="J72" s="102"/>
      <c r="K72" s="102"/>
      <c r="L72" s="102"/>
      <c r="M72" s="102"/>
    </row>
    <row r="73" spans="1:48" ht="12.75">
      <c r="A73" s="99" t="s">
        <v>25</v>
      </c>
      <c r="B73" s="99" t="s">
        <v>406</v>
      </c>
      <c r="C73" s="99" t="s">
        <v>434</v>
      </c>
      <c r="D73" s="99" t="s">
        <v>833</v>
      </c>
      <c r="E73" s="99" t="s">
        <v>1642</v>
      </c>
      <c r="F73" s="100">
        <v>0.42</v>
      </c>
      <c r="G73" s="100">
        <v>0</v>
      </c>
      <c r="H73" s="100">
        <f>F73*AE73</f>
        <v>0</v>
      </c>
      <c r="I73" s="100">
        <f>J73-H73</f>
        <v>0</v>
      </c>
      <c r="J73" s="100">
        <f>F73*G73</f>
        <v>0</v>
      </c>
      <c r="K73" s="100">
        <v>1.04548</v>
      </c>
      <c r="L73" s="100">
        <f>F73*K73</f>
        <v>0.4391016</v>
      </c>
      <c r="M73" s="101" t="s">
        <v>1667</v>
      </c>
      <c r="P73" s="14">
        <f>IF(AG73="5",J73,0)</f>
        <v>0</v>
      </c>
      <c r="R73" s="14">
        <f>IF(AG73="1",H73,0)</f>
        <v>0</v>
      </c>
      <c r="S73" s="14">
        <f>IF(AG73="1",I73,0)</f>
        <v>0</v>
      </c>
      <c r="T73" s="14">
        <f>IF(AG73="7",H73,0)</f>
        <v>0</v>
      </c>
      <c r="U73" s="14">
        <f>IF(AG73="7",I73,0)</f>
        <v>0</v>
      </c>
      <c r="V73" s="14">
        <f>IF(AG73="2",H73,0)</f>
        <v>0</v>
      </c>
      <c r="W73" s="14">
        <f>IF(AG73="2",I73,0)</f>
        <v>0</v>
      </c>
      <c r="X73" s="14">
        <f>IF(AG73="0",J73,0)</f>
        <v>0</v>
      </c>
      <c r="Y73" s="8" t="s">
        <v>406</v>
      </c>
      <c r="Z73" s="5">
        <f>IF(AD73=0,J73,0)</f>
        <v>0</v>
      </c>
      <c r="AA73" s="5">
        <f>IF(AD73=15,J73,0)</f>
        <v>0</v>
      </c>
      <c r="AB73" s="5">
        <f>IF(AD73=21,J73,0)</f>
        <v>0</v>
      </c>
      <c r="AD73" s="14">
        <v>15</v>
      </c>
      <c r="AE73" s="14">
        <f>G73*0.815812718378756</f>
        <v>0</v>
      </c>
      <c r="AF73" s="14">
        <f>G73*(1-0.815812718378756)</f>
        <v>0</v>
      </c>
      <c r="AG73" s="10" t="s">
        <v>7</v>
      </c>
      <c r="AM73" s="14">
        <f>F73*AE73</f>
        <v>0</v>
      </c>
      <c r="AN73" s="14">
        <f>F73*AF73</f>
        <v>0</v>
      </c>
      <c r="AO73" s="15" t="s">
        <v>1685</v>
      </c>
      <c r="AP73" s="15" t="s">
        <v>1727</v>
      </c>
      <c r="AQ73" s="8" t="s">
        <v>1769</v>
      </c>
      <c r="AS73" s="14">
        <f>AM73+AN73</f>
        <v>0</v>
      </c>
      <c r="AT73" s="14">
        <f>G73/(100-AU73)*100</f>
        <v>0</v>
      </c>
      <c r="AU73" s="14">
        <v>0</v>
      </c>
      <c r="AV73" s="14">
        <f>L73</f>
        <v>0.4391016</v>
      </c>
    </row>
    <row r="74" spans="1:13" ht="12.75">
      <c r="A74" s="102"/>
      <c r="B74" s="102"/>
      <c r="C74" s="102"/>
      <c r="D74" s="103" t="s">
        <v>834</v>
      </c>
      <c r="E74" s="102"/>
      <c r="F74" s="104">
        <v>0.42</v>
      </c>
      <c r="G74" s="102"/>
      <c r="H74" s="102"/>
      <c r="I74" s="102"/>
      <c r="J74" s="102"/>
      <c r="K74" s="102"/>
      <c r="L74" s="102"/>
      <c r="M74" s="102"/>
    </row>
    <row r="75" spans="1:48" ht="12.75">
      <c r="A75" s="99" t="s">
        <v>26</v>
      </c>
      <c r="B75" s="99" t="s">
        <v>406</v>
      </c>
      <c r="C75" s="99" t="s">
        <v>435</v>
      </c>
      <c r="D75" s="99" t="s">
        <v>835</v>
      </c>
      <c r="E75" s="99" t="s">
        <v>1640</v>
      </c>
      <c r="F75" s="100">
        <v>7.7</v>
      </c>
      <c r="G75" s="100">
        <v>0</v>
      </c>
      <c r="H75" s="100">
        <f>F75*AE75</f>
        <v>0</v>
      </c>
      <c r="I75" s="100">
        <f>J75-H75</f>
        <v>0</v>
      </c>
      <c r="J75" s="100">
        <f>F75*G75</f>
        <v>0</v>
      </c>
      <c r="K75" s="100">
        <v>0.0364</v>
      </c>
      <c r="L75" s="100">
        <f>F75*K75</f>
        <v>0.28028000000000003</v>
      </c>
      <c r="M75" s="101" t="s">
        <v>1667</v>
      </c>
      <c r="P75" s="14">
        <f>IF(AG75="5",J75,0)</f>
        <v>0</v>
      </c>
      <c r="R75" s="14">
        <f>IF(AG75="1",H75,0)</f>
        <v>0</v>
      </c>
      <c r="S75" s="14">
        <f>IF(AG75="1",I75,0)</f>
        <v>0</v>
      </c>
      <c r="T75" s="14">
        <f>IF(AG75="7",H75,0)</f>
        <v>0</v>
      </c>
      <c r="U75" s="14">
        <f>IF(AG75="7",I75,0)</f>
        <v>0</v>
      </c>
      <c r="V75" s="14">
        <f>IF(AG75="2",H75,0)</f>
        <v>0</v>
      </c>
      <c r="W75" s="14">
        <f>IF(AG75="2",I75,0)</f>
        <v>0</v>
      </c>
      <c r="X75" s="14">
        <f>IF(AG75="0",J75,0)</f>
        <v>0</v>
      </c>
      <c r="Y75" s="8" t="s">
        <v>406</v>
      </c>
      <c r="Z75" s="5">
        <f>IF(AD75=0,J75,0)</f>
        <v>0</v>
      </c>
      <c r="AA75" s="5">
        <f>IF(AD75=15,J75,0)</f>
        <v>0</v>
      </c>
      <c r="AB75" s="5">
        <f>IF(AD75=21,J75,0)</f>
        <v>0</v>
      </c>
      <c r="AD75" s="14">
        <v>15</v>
      </c>
      <c r="AE75" s="14">
        <f>G75*0.69943359375</f>
        <v>0</v>
      </c>
      <c r="AF75" s="14">
        <f>G75*(1-0.69943359375)</f>
        <v>0</v>
      </c>
      <c r="AG75" s="10" t="s">
        <v>7</v>
      </c>
      <c r="AM75" s="14">
        <f>F75*AE75</f>
        <v>0</v>
      </c>
      <c r="AN75" s="14">
        <f>F75*AF75</f>
        <v>0</v>
      </c>
      <c r="AO75" s="15" t="s">
        <v>1685</v>
      </c>
      <c r="AP75" s="15" t="s">
        <v>1727</v>
      </c>
      <c r="AQ75" s="8" t="s">
        <v>1769</v>
      </c>
      <c r="AS75" s="14">
        <f>AM75+AN75</f>
        <v>0</v>
      </c>
      <c r="AT75" s="14">
        <f>G75/(100-AU75)*100</f>
        <v>0</v>
      </c>
      <c r="AU75" s="14">
        <v>0</v>
      </c>
      <c r="AV75" s="14">
        <f>L75</f>
        <v>0.28028000000000003</v>
      </c>
    </row>
    <row r="76" spans="1:13" ht="12.75">
      <c r="A76" s="102"/>
      <c r="B76" s="102"/>
      <c r="C76" s="102"/>
      <c r="D76" s="103" t="s">
        <v>836</v>
      </c>
      <c r="E76" s="102"/>
      <c r="F76" s="104">
        <v>7.7</v>
      </c>
      <c r="G76" s="102"/>
      <c r="H76" s="102"/>
      <c r="I76" s="102"/>
      <c r="J76" s="102"/>
      <c r="K76" s="102"/>
      <c r="L76" s="102"/>
      <c r="M76" s="102"/>
    </row>
    <row r="77" spans="1:48" ht="12.75">
      <c r="A77" s="99" t="s">
        <v>27</v>
      </c>
      <c r="B77" s="99" t="s">
        <v>406</v>
      </c>
      <c r="C77" s="99" t="s">
        <v>436</v>
      </c>
      <c r="D77" s="99" t="s">
        <v>837</v>
      </c>
      <c r="E77" s="99" t="s">
        <v>1640</v>
      </c>
      <c r="F77" s="100">
        <v>7.7</v>
      </c>
      <c r="G77" s="100">
        <v>0</v>
      </c>
      <c r="H77" s="100">
        <f>F77*AE77</f>
        <v>0</v>
      </c>
      <c r="I77" s="100">
        <f>J77-H77</f>
        <v>0</v>
      </c>
      <c r="J77" s="100">
        <f>F77*G77</f>
        <v>0</v>
      </c>
      <c r="K77" s="100">
        <v>0</v>
      </c>
      <c r="L77" s="100">
        <f>F77*K77</f>
        <v>0</v>
      </c>
      <c r="M77" s="101" t="s">
        <v>1667</v>
      </c>
      <c r="P77" s="14">
        <f>IF(AG77="5",J77,0)</f>
        <v>0</v>
      </c>
      <c r="R77" s="14">
        <f>IF(AG77="1",H77,0)</f>
        <v>0</v>
      </c>
      <c r="S77" s="14">
        <f>IF(AG77="1",I77,0)</f>
        <v>0</v>
      </c>
      <c r="T77" s="14">
        <f>IF(AG77="7",H77,0)</f>
        <v>0</v>
      </c>
      <c r="U77" s="14">
        <f>IF(AG77="7",I77,0)</f>
        <v>0</v>
      </c>
      <c r="V77" s="14">
        <f>IF(AG77="2",H77,0)</f>
        <v>0</v>
      </c>
      <c r="W77" s="14">
        <f>IF(AG77="2",I77,0)</f>
        <v>0</v>
      </c>
      <c r="X77" s="14">
        <f>IF(AG77="0",J77,0)</f>
        <v>0</v>
      </c>
      <c r="Y77" s="8" t="s">
        <v>406</v>
      </c>
      <c r="Z77" s="5">
        <f>IF(AD77=0,J77,0)</f>
        <v>0</v>
      </c>
      <c r="AA77" s="5">
        <f>IF(AD77=15,J77,0)</f>
        <v>0</v>
      </c>
      <c r="AB77" s="5">
        <f>IF(AD77=21,J77,0)</f>
        <v>0</v>
      </c>
      <c r="AD77" s="14">
        <v>15</v>
      </c>
      <c r="AE77" s="14">
        <f>G77*0</f>
        <v>0</v>
      </c>
      <c r="AF77" s="14">
        <f>G77*(1-0)</f>
        <v>0</v>
      </c>
      <c r="AG77" s="10" t="s">
        <v>7</v>
      </c>
      <c r="AM77" s="14">
        <f>F77*AE77</f>
        <v>0</v>
      </c>
      <c r="AN77" s="14">
        <f>F77*AF77</f>
        <v>0</v>
      </c>
      <c r="AO77" s="15" t="s">
        <v>1685</v>
      </c>
      <c r="AP77" s="15" t="s">
        <v>1727</v>
      </c>
      <c r="AQ77" s="8" t="s">
        <v>1769</v>
      </c>
      <c r="AS77" s="14">
        <f>AM77+AN77</f>
        <v>0</v>
      </c>
      <c r="AT77" s="14">
        <f>G77/(100-AU77)*100</f>
        <v>0</v>
      </c>
      <c r="AU77" s="14">
        <v>0</v>
      </c>
      <c r="AV77" s="14">
        <f>L77</f>
        <v>0</v>
      </c>
    </row>
    <row r="78" spans="1:48" ht="12.75">
      <c r="A78" s="99" t="s">
        <v>28</v>
      </c>
      <c r="B78" s="99" t="s">
        <v>406</v>
      </c>
      <c r="C78" s="99" t="s">
        <v>437</v>
      </c>
      <c r="D78" s="99" t="s">
        <v>838</v>
      </c>
      <c r="E78" s="99" t="s">
        <v>1643</v>
      </c>
      <c r="F78" s="100">
        <v>1.5</v>
      </c>
      <c r="G78" s="100">
        <v>0</v>
      </c>
      <c r="H78" s="100">
        <f>F78*AE78</f>
        <v>0</v>
      </c>
      <c r="I78" s="100">
        <f>J78-H78</f>
        <v>0</v>
      </c>
      <c r="J78" s="100">
        <f>F78*G78</f>
        <v>0</v>
      </c>
      <c r="K78" s="100">
        <v>0.0021</v>
      </c>
      <c r="L78" s="100">
        <f>F78*K78</f>
        <v>0.00315</v>
      </c>
      <c r="M78" s="101" t="s">
        <v>1667</v>
      </c>
      <c r="P78" s="14">
        <f>IF(AG78="5",J78,0)</f>
        <v>0</v>
      </c>
      <c r="R78" s="14">
        <f>IF(AG78="1",H78,0)</f>
        <v>0</v>
      </c>
      <c r="S78" s="14">
        <f>IF(AG78="1",I78,0)</f>
        <v>0</v>
      </c>
      <c r="T78" s="14">
        <f>IF(AG78="7",H78,0)</f>
        <v>0</v>
      </c>
      <c r="U78" s="14">
        <f>IF(AG78="7",I78,0)</f>
        <v>0</v>
      </c>
      <c r="V78" s="14">
        <f>IF(AG78="2",H78,0)</f>
        <v>0</v>
      </c>
      <c r="W78" s="14">
        <f>IF(AG78="2",I78,0)</f>
        <v>0</v>
      </c>
      <c r="X78" s="14">
        <f>IF(AG78="0",J78,0)</f>
        <v>0</v>
      </c>
      <c r="Y78" s="8" t="s">
        <v>406</v>
      </c>
      <c r="Z78" s="5">
        <f>IF(AD78=0,J78,0)</f>
        <v>0</v>
      </c>
      <c r="AA78" s="5">
        <f>IF(AD78=15,J78,0)</f>
        <v>0</v>
      </c>
      <c r="AB78" s="5">
        <f>IF(AD78=21,J78,0)</f>
        <v>0</v>
      </c>
      <c r="AD78" s="14">
        <v>15</v>
      </c>
      <c r="AE78" s="14">
        <f>G78*0.409998157587668</f>
        <v>0</v>
      </c>
      <c r="AF78" s="14">
        <f>G78*(1-0.409998157587668)</f>
        <v>0</v>
      </c>
      <c r="AG78" s="10" t="s">
        <v>7</v>
      </c>
      <c r="AM78" s="14">
        <f>F78*AE78</f>
        <v>0</v>
      </c>
      <c r="AN78" s="14">
        <f>F78*AF78</f>
        <v>0</v>
      </c>
      <c r="AO78" s="15" t="s">
        <v>1685</v>
      </c>
      <c r="AP78" s="15" t="s">
        <v>1727</v>
      </c>
      <c r="AQ78" s="8" t="s">
        <v>1769</v>
      </c>
      <c r="AS78" s="14">
        <f>AM78+AN78</f>
        <v>0</v>
      </c>
      <c r="AT78" s="14">
        <f>G78/(100-AU78)*100</f>
        <v>0</v>
      </c>
      <c r="AU78" s="14">
        <v>0</v>
      </c>
      <c r="AV78" s="14">
        <f>L78</f>
        <v>0.00315</v>
      </c>
    </row>
    <row r="79" spans="1:13" ht="12.75">
      <c r="A79" s="102"/>
      <c r="B79" s="102"/>
      <c r="C79" s="102"/>
      <c r="D79" s="103" t="s">
        <v>839</v>
      </c>
      <c r="E79" s="102"/>
      <c r="F79" s="104">
        <v>1.5</v>
      </c>
      <c r="G79" s="102"/>
      <c r="H79" s="102"/>
      <c r="I79" s="102"/>
      <c r="J79" s="102"/>
      <c r="K79" s="102"/>
      <c r="L79" s="102"/>
      <c r="M79" s="102"/>
    </row>
    <row r="80" spans="1:37" ht="12.75">
      <c r="A80" s="93"/>
      <c r="B80" s="94" t="s">
        <v>406</v>
      </c>
      <c r="C80" s="94" t="s">
        <v>37</v>
      </c>
      <c r="D80" s="95" t="s">
        <v>840</v>
      </c>
      <c r="E80" s="96"/>
      <c r="F80" s="96"/>
      <c r="G80" s="96"/>
      <c r="H80" s="97">
        <f>SUM(H81:H132)</f>
        <v>0</v>
      </c>
      <c r="I80" s="97">
        <f>SUM(I81:I132)</f>
        <v>0</v>
      </c>
      <c r="J80" s="97">
        <f>H80+I80</f>
        <v>0</v>
      </c>
      <c r="K80" s="98"/>
      <c r="L80" s="97">
        <f>SUM(L81:L132)</f>
        <v>93.87660170000001</v>
      </c>
      <c r="M80" s="98"/>
      <c r="Y80" s="8" t="s">
        <v>406</v>
      </c>
      <c r="AI80" s="16">
        <f>SUM(Z81:Z132)</f>
        <v>0</v>
      </c>
      <c r="AJ80" s="16">
        <f>SUM(AA81:AA132)</f>
        <v>0</v>
      </c>
      <c r="AK80" s="16">
        <f>SUM(AB81:AB132)</f>
        <v>0</v>
      </c>
    </row>
    <row r="81" spans="1:48" ht="12.75">
      <c r="A81" s="99" t="s">
        <v>29</v>
      </c>
      <c r="B81" s="99" t="s">
        <v>406</v>
      </c>
      <c r="C81" s="99" t="s">
        <v>438</v>
      </c>
      <c r="D81" s="99" t="s">
        <v>841</v>
      </c>
      <c r="E81" s="99" t="s">
        <v>1640</v>
      </c>
      <c r="F81" s="100">
        <v>21.54</v>
      </c>
      <c r="G81" s="100">
        <v>0</v>
      </c>
      <c r="H81" s="100">
        <f>F81*AE81</f>
        <v>0</v>
      </c>
      <c r="I81" s="100">
        <f>J81-H81</f>
        <v>0</v>
      </c>
      <c r="J81" s="100">
        <f>F81*G81</f>
        <v>0</v>
      </c>
      <c r="K81" s="100">
        <v>0.00732</v>
      </c>
      <c r="L81" s="100">
        <f>F81*K81</f>
        <v>0.1576728</v>
      </c>
      <c r="M81" s="101" t="s">
        <v>1667</v>
      </c>
      <c r="P81" s="14">
        <f>IF(AG81="5",J81,0)</f>
        <v>0</v>
      </c>
      <c r="R81" s="14">
        <f>IF(AG81="1",H81,0)</f>
        <v>0</v>
      </c>
      <c r="S81" s="14">
        <f>IF(AG81="1",I81,0)</f>
        <v>0</v>
      </c>
      <c r="T81" s="14">
        <f>IF(AG81="7",H81,0)</f>
        <v>0</v>
      </c>
      <c r="U81" s="14">
        <f>IF(AG81="7",I81,0)</f>
        <v>0</v>
      </c>
      <c r="V81" s="14">
        <f>IF(AG81="2",H81,0)</f>
        <v>0</v>
      </c>
      <c r="W81" s="14">
        <f>IF(AG81="2",I81,0)</f>
        <v>0</v>
      </c>
      <c r="X81" s="14">
        <f>IF(AG81="0",J81,0)</f>
        <v>0</v>
      </c>
      <c r="Y81" s="8" t="s">
        <v>406</v>
      </c>
      <c r="Z81" s="5">
        <f>IF(AD81=0,J81,0)</f>
        <v>0</v>
      </c>
      <c r="AA81" s="5">
        <f>IF(AD81=15,J81,0)</f>
        <v>0</v>
      </c>
      <c r="AB81" s="5">
        <f>IF(AD81=21,J81,0)</f>
        <v>0</v>
      </c>
      <c r="AD81" s="14">
        <v>15</v>
      </c>
      <c r="AE81" s="14">
        <f>G81*0.669029255319149</f>
        <v>0</v>
      </c>
      <c r="AF81" s="14">
        <f>G81*(1-0.669029255319149)</f>
        <v>0</v>
      </c>
      <c r="AG81" s="10" t="s">
        <v>7</v>
      </c>
      <c r="AM81" s="14">
        <f>F81*AE81</f>
        <v>0</v>
      </c>
      <c r="AN81" s="14">
        <f>F81*AF81</f>
        <v>0</v>
      </c>
      <c r="AO81" s="15" t="s">
        <v>1686</v>
      </c>
      <c r="AP81" s="15" t="s">
        <v>1728</v>
      </c>
      <c r="AQ81" s="8" t="s">
        <v>1769</v>
      </c>
      <c r="AS81" s="14">
        <f>AM81+AN81</f>
        <v>0</v>
      </c>
      <c r="AT81" s="14">
        <f>G81/(100-AU81)*100</f>
        <v>0</v>
      </c>
      <c r="AU81" s="14">
        <v>0</v>
      </c>
      <c r="AV81" s="14">
        <f>L81</f>
        <v>0.1576728</v>
      </c>
    </row>
    <row r="82" spans="1:13" ht="12.75">
      <c r="A82" s="102"/>
      <c r="B82" s="102"/>
      <c r="C82" s="102"/>
      <c r="D82" s="103" t="s">
        <v>842</v>
      </c>
      <c r="E82" s="102"/>
      <c r="F82" s="104">
        <v>3.43</v>
      </c>
      <c r="G82" s="102"/>
      <c r="H82" s="102"/>
      <c r="I82" s="102"/>
      <c r="J82" s="102"/>
      <c r="K82" s="102"/>
      <c r="L82" s="102"/>
      <c r="M82" s="102"/>
    </row>
    <row r="83" spans="1:13" ht="12.75">
      <c r="A83" s="102"/>
      <c r="B83" s="102"/>
      <c r="C83" s="102"/>
      <c r="D83" s="103" t="s">
        <v>843</v>
      </c>
      <c r="E83" s="102"/>
      <c r="F83" s="104">
        <v>4.02</v>
      </c>
      <c r="G83" s="102"/>
      <c r="H83" s="102"/>
      <c r="I83" s="102"/>
      <c r="J83" s="102"/>
      <c r="K83" s="102"/>
      <c r="L83" s="102"/>
      <c r="M83" s="102"/>
    </row>
    <row r="84" spans="1:13" ht="12.75">
      <c r="A84" s="102"/>
      <c r="B84" s="102"/>
      <c r="C84" s="102"/>
      <c r="D84" s="103" t="s">
        <v>844</v>
      </c>
      <c r="E84" s="102"/>
      <c r="F84" s="104">
        <v>5.5</v>
      </c>
      <c r="G84" s="102"/>
      <c r="H84" s="102"/>
      <c r="I84" s="102"/>
      <c r="J84" s="102"/>
      <c r="K84" s="102"/>
      <c r="L84" s="102"/>
      <c r="M84" s="102"/>
    </row>
    <row r="85" spans="1:13" ht="12.75">
      <c r="A85" s="102"/>
      <c r="B85" s="102"/>
      <c r="C85" s="102"/>
      <c r="D85" s="103" t="s">
        <v>845</v>
      </c>
      <c r="E85" s="102"/>
      <c r="F85" s="104">
        <v>3.53</v>
      </c>
      <c r="G85" s="102"/>
      <c r="H85" s="102"/>
      <c r="I85" s="102"/>
      <c r="J85" s="102"/>
      <c r="K85" s="102"/>
      <c r="L85" s="102"/>
      <c r="M85" s="102"/>
    </row>
    <row r="86" spans="1:13" ht="12.75">
      <c r="A86" s="102"/>
      <c r="B86" s="102"/>
      <c r="C86" s="102"/>
      <c r="D86" s="103" t="s">
        <v>846</v>
      </c>
      <c r="E86" s="102"/>
      <c r="F86" s="104">
        <v>0</v>
      </c>
      <c r="G86" s="102"/>
      <c r="H86" s="102"/>
      <c r="I86" s="102"/>
      <c r="J86" s="102"/>
      <c r="K86" s="102"/>
      <c r="L86" s="102"/>
      <c r="M86" s="102"/>
    </row>
    <row r="87" spans="1:13" ht="12.75">
      <c r="A87" s="102"/>
      <c r="B87" s="102"/>
      <c r="C87" s="102"/>
      <c r="D87" s="103" t="s">
        <v>847</v>
      </c>
      <c r="E87" s="102"/>
      <c r="F87" s="104">
        <v>5.06</v>
      </c>
      <c r="G87" s="102"/>
      <c r="H87" s="102"/>
      <c r="I87" s="102"/>
      <c r="J87" s="102"/>
      <c r="K87" s="102"/>
      <c r="L87" s="102"/>
      <c r="M87" s="102"/>
    </row>
    <row r="88" spans="1:48" ht="12.75">
      <c r="A88" s="99" t="s">
        <v>30</v>
      </c>
      <c r="B88" s="99" t="s">
        <v>406</v>
      </c>
      <c r="C88" s="99" t="s">
        <v>439</v>
      </c>
      <c r="D88" s="99" t="s">
        <v>848</v>
      </c>
      <c r="E88" s="99" t="s">
        <v>1640</v>
      </c>
      <c r="F88" s="100">
        <v>169.55</v>
      </c>
      <c r="G88" s="100">
        <v>0</v>
      </c>
      <c r="H88" s="100">
        <f>F88*AE88</f>
        <v>0</v>
      </c>
      <c r="I88" s="100">
        <f>J88-H88</f>
        <v>0</v>
      </c>
      <c r="J88" s="100">
        <f>F88*G88</f>
        <v>0</v>
      </c>
      <c r="K88" s="100">
        <v>0.47089</v>
      </c>
      <c r="L88" s="100">
        <f>F88*K88</f>
        <v>79.8393995</v>
      </c>
      <c r="M88" s="101" t="s">
        <v>1667</v>
      </c>
      <c r="P88" s="14">
        <f>IF(AG88="5",J88,0)</f>
        <v>0</v>
      </c>
      <c r="R88" s="14">
        <f>IF(AG88="1",H88,0)</f>
        <v>0</v>
      </c>
      <c r="S88" s="14">
        <f>IF(AG88="1",I88,0)</f>
        <v>0</v>
      </c>
      <c r="T88" s="14">
        <f>IF(AG88="7",H88,0)</f>
        <v>0</v>
      </c>
      <c r="U88" s="14">
        <f>IF(AG88="7",I88,0)</f>
        <v>0</v>
      </c>
      <c r="V88" s="14">
        <f>IF(AG88="2",H88,0)</f>
        <v>0</v>
      </c>
      <c r="W88" s="14">
        <f>IF(AG88="2",I88,0)</f>
        <v>0</v>
      </c>
      <c r="X88" s="14">
        <f>IF(AG88="0",J88,0)</f>
        <v>0</v>
      </c>
      <c r="Y88" s="8" t="s">
        <v>406</v>
      </c>
      <c r="Z88" s="5">
        <f>IF(AD88=0,J88,0)</f>
        <v>0</v>
      </c>
      <c r="AA88" s="5">
        <f>IF(AD88=15,J88,0)</f>
        <v>0</v>
      </c>
      <c r="AB88" s="5">
        <f>IF(AD88=21,J88,0)</f>
        <v>0</v>
      </c>
      <c r="AD88" s="14">
        <v>15</v>
      </c>
      <c r="AE88" s="14">
        <f>G88*0.657879335244904</f>
        <v>0</v>
      </c>
      <c r="AF88" s="14">
        <f>G88*(1-0.657879335244904)</f>
        <v>0</v>
      </c>
      <c r="AG88" s="10" t="s">
        <v>7</v>
      </c>
      <c r="AM88" s="14">
        <f>F88*AE88</f>
        <v>0</v>
      </c>
      <c r="AN88" s="14">
        <f>F88*AF88</f>
        <v>0</v>
      </c>
      <c r="AO88" s="15" t="s">
        <v>1686</v>
      </c>
      <c r="AP88" s="15" t="s">
        <v>1728</v>
      </c>
      <c r="AQ88" s="8" t="s">
        <v>1769</v>
      </c>
      <c r="AS88" s="14">
        <f>AM88+AN88</f>
        <v>0</v>
      </c>
      <c r="AT88" s="14">
        <f>G88/(100-AU88)*100</f>
        <v>0</v>
      </c>
      <c r="AU88" s="14">
        <v>0</v>
      </c>
      <c r="AV88" s="14">
        <f>L88</f>
        <v>79.8393995</v>
      </c>
    </row>
    <row r="89" spans="1:13" ht="12.75">
      <c r="A89" s="102"/>
      <c r="B89" s="102"/>
      <c r="C89" s="102"/>
      <c r="D89" s="103" t="s">
        <v>849</v>
      </c>
      <c r="E89" s="102"/>
      <c r="F89" s="104">
        <v>55.44</v>
      </c>
      <c r="G89" s="102"/>
      <c r="H89" s="102"/>
      <c r="I89" s="102"/>
      <c r="J89" s="102"/>
      <c r="K89" s="102"/>
      <c r="L89" s="102"/>
      <c r="M89" s="102"/>
    </row>
    <row r="90" spans="1:13" ht="12.75">
      <c r="A90" s="102"/>
      <c r="B90" s="102"/>
      <c r="C90" s="102"/>
      <c r="D90" s="103" t="s">
        <v>850</v>
      </c>
      <c r="E90" s="102"/>
      <c r="F90" s="104">
        <v>43.25</v>
      </c>
      <c r="G90" s="102"/>
      <c r="H90" s="102"/>
      <c r="I90" s="102"/>
      <c r="J90" s="102"/>
      <c r="K90" s="102"/>
      <c r="L90" s="102"/>
      <c r="M90" s="102"/>
    </row>
    <row r="91" spans="1:13" ht="12.75">
      <c r="A91" s="102"/>
      <c r="B91" s="102"/>
      <c r="C91" s="102"/>
      <c r="D91" s="103" t="s">
        <v>851</v>
      </c>
      <c r="E91" s="102"/>
      <c r="F91" s="104">
        <v>-11.76</v>
      </c>
      <c r="G91" s="102"/>
      <c r="H91" s="102"/>
      <c r="I91" s="102"/>
      <c r="J91" s="102"/>
      <c r="K91" s="102"/>
      <c r="L91" s="102"/>
      <c r="M91" s="102"/>
    </row>
    <row r="92" spans="1:13" ht="12.75">
      <c r="A92" s="102"/>
      <c r="B92" s="102"/>
      <c r="C92" s="102"/>
      <c r="D92" s="103" t="s">
        <v>852</v>
      </c>
      <c r="E92" s="102"/>
      <c r="F92" s="104">
        <v>-1.5</v>
      </c>
      <c r="G92" s="102"/>
      <c r="H92" s="102"/>
      <c r="I92" s="102"/>
      <c r="J92" s="102"/>
      <c r="K92" s="102"/>
      <c r="L92" s="102"/>
      <c r="M92" s="102"/>
    </row>
    <row r="93" spans="1:13" ht="12.75">
      <c r="A93" s="102"/>
      <c r="B93" s="102"/>
      <c r="C93" s="102"/>
      <c r="D93" s="103" t="s">
        <v>853</v>
      </c>
      <c r="E93" s="102"/>
      <c r="F93" s="104">
        <v>-1.13</v>
      </c>
      <c r="G93" s="102"/>
      <c r="H93" s="102"/>
      <c r="I93" s="102"/>
      <c r="J93" s="102"/>
      <c r="K93" s="102"/>
      <c r="L93" s="102"/>
      <c r="M93" s="102"/>
    </row>
    <row r="94" spans="1:13" ht="12.75">
      <c r="A94" s="102"/>
      <c r="B94" s="102"/>
      <c r="C94" s="102"/>
      <c r="D94" s="103" t="s">
        <v>854</v>
      </c>
      <c r="E94" s="102"/>
      <c r="F94" s="104">
        <v>-2.86</v>
      </c>
      <c r="G94" s="102"/>
      <c r="H94" s="102"/>
      <c r="I94" s="102"/>
      <c r="J94" s="102"/>
      <c r="K94" s="102"/>
      <c r="L94" s="102"/>
      <c r="M94" s="102"/>
    </row>
    <row r="95" spans="1:13" ht="12.75">
      <c r="A95" s="102"/>
      <c r="B95" s="102"/>
      <c r="C95" s="102"/>
      <c r="D95" s="103" t="s">
        <v>855</v>
      </c>
      <c r="E95" s="102"/>
      <c r="F95" s="104">
        <v>-1.88</v>
      </c>
      <c r="G95" s="102"/>
      <c r="H95" s="102"/>
      <c r="I95" s="102"/>
      <c r="J95" s="102"/>
      <c r="K95" s="102"/>
      <c r="L95" s="102"/>
      <c r="M95" s="102"/>
    </row>
    <row r="96" spans="1:13" ht="12.75">
      <c r="A96" s="102"/>
      <c r="B96" s="102"/>
      <c r="C96" s="102"/>
      <c r="D96" s="103" t="s">
        <v>852</v>
      </c>
      <c r="E96" s="102"/>
      <c r="F96" s="104">
        <v>-1.5</v>
      </c>
      <c r="G96" s="102"/>
      <c r="H96" s="102"/>
      <c r="I96" s="102"/>
      <c r="J96" s="102"/>
      <c r="K96" s="102"/>
      <c r="L96" s="102"/>
      <c r="M96" s="102"/>
    </row>
    <row r="97" spans="1:13" ht="12.75">
      <c r="A97" s="102"/>
      <c r="B97" s="102"/>
      <c r="C97" s="102"/>
      <c r="D97" s="103" t="s">
        <v>856</v>
      </c>
      <c r="E97" s="102"/>
      <c r="F97" s="104">
        <v>47.25</v>
      </c>
      <c r="G97" s="102"/>
      <c r="H97" s="102"/>
      <c r="I97" s="102"/>
      <c r="J97" s="102"/>
      <c r="K97" s="102"/>
      <c r="L97" s="102"/>
      <c r="M97" s="102"/>
    </row>
    <row r="98" spans="1:13" ht="12.75">
      <c r="A98" s="102"/>
      <c r="B98" s="102"/>
      <c r="C98" s="102"/>
      <c r="D98" s="103" t="s">
        <v>857</v>
      </c>
      <c r="E98" s="102"/>
      <c r="F98" s="104">
        <v>37.22</v>
      </c>
      <c r="G98" s="102"/>
      <c r="H98" s="102"/>
      <c r="I98" s="102"/>
      <c r="J98" s="102"/>
      <c r="K98" s="102"/>
      <c r="L98" s="102"/>
      <c r="M98" s="102"/>
    </row>
    <row r="99" spans="1:13" ht="12.75">
      <c r="A99" s="102"/>
      <c r="B99" s="102"/>
      <c r="C99" s="102"/>
      <c r="D99" s="103" t="s">
        <v>858</v>
      </c>
      <c r="E99" s="102"/>
      <c r="F99" s="104">
        <v>-6</v>
      </c>
      <c r="G99" s="102"/>
      <c r="H99" s="102"/>
      <c r="I99" s="102"/>
      <c r="J99" s="102"/>
      <c r="K99" s="102"/>
      <c r="L99" s="102"/>
      <c r="M99" s="102"/>
    </row>
    <row r="100" spans="1:13" ht="12.75">
      <c r="A100" s="102"/>
      <c r="B100" s="102"/>
      <c r="C100" s="102"/>
      <c r="D100" s="103" t="s">
        <v>859</v>
      </c>
      <c r="E100" s="102"/>
      <c r="F100" s="104">
        <v>-0.94</v>
      </c>
      <c r="G100" s="102"/>
      <c r="H100" s="102"/>
      <c r="I100" s="102"/>
      <c r="J100" s="102"/>
      <c r="K100" s="102"/>
      <c r="L100" s="102"/>
      <c r="M100" s="102"/>
    </row>
    <row r="101" spans="1:13" ht="12.75">
      <c r="A101" s="102"/>
      <c r="B101" s="102"/>
      <c r="C101" s="102"/>
      <c r="D101" s="103" t="s">
        <v>852</v>
      </c>
      <c r="E101" s="102"/>
      <c r="F101" s="104">
        <v>-1.5</v>
      </c>
      <c r="G101" s="102"/>
      <c r="H101" s="102"/>
      <c r="I101" s="102"/>
      <c r="J101" s="102"/>
      <c r="K101" s="102"/>
      <c r="L101" s="102"/>
      <c r="M101" s="102"/>
    </row>
    <row r="102" spans="1:13" ht="12.75">
      <c r="A102" s="102"/>
      <c r="B102" s="102"/>
      <c r="C102" s="102"/>
      <c r="D102" s="103" t="s">
        <v>860</v>
      </c>
      <c r="E102" s="102"/>
      <c r="F102" s="104">
        <v>-1.5</v>
      </c>
      <c r="G102" s="102"/>
      <c r="H102" s="102"/>
      <c r="I102" s="102"/>
      <c r="J102" s="102"/>
      <c r="K102" s="102"/>
      <c r="L102" s="102"/>
      <c r="M102" s="102"/>
    </row>
    <row r="103" spans="1:13" ht="12.75">
      <c r="A103" s="102"/>
      <c r="B103" s="102"/>
      <c r="C103" s="102"/>
      <c r="D103" s="103" t="s">
        <v>861</v>
      </c>
      <c r="E103" s="102"/>
      <c r="F103" s="104">
        <v>-1.25</v>
      </c>
      <c r="G103" s="102"/>
      <c r="H103" s="102"/>
      <c r="I103" s="102"/>
      <c r="J103" s="102"/>
      <c r="K103" s="102"/>
      <c r="L103" s="102"/>
      <c r="M103" s="102"/>
    </row>
    <row r="104" spans="1:13" ht="12.75">
      <c r="A104" s="102"/>
      <c r="B104" s="102"/>
      <c r="C104" s="102"/>
      <c r="D104" s="103" t="s">
        <v>862</v>
      </c>
      <c r="E104" s="102"/>
      <c r="F104" s="104">
        <v>-1.56</v>
      </c>
      <c r="G104" s="102"/>
      <c r="H104" s="102"/>
      <c r="I104" s="102"/>
      <c r="J104" s="102"/>
      <c r="K104" s="102"/>
      <c r="L104" s="102"/>
      <c r="M104" s="102"/>
    </row>
    <row r="105" spans="1:13" ht="12.75">
      <c r="A105" s="102"/>
      <c r="B105" s="102"/>
      <c r="C105" s="102"/>
      <c r="D105" s="103" t="s">
        <v>852</v>
      </c>
      <c r="E105" s="102"/>
      <c r="F105" s="104">
        <v>-1.5</v>
      </c>
      <c r="G105" s="102"/>
      <c r="H105" s="102"/>
      <c r="I105" s="102"/>
      <c r="J105" s="102"/>
      <c r="K105" s="102"/>
      <c r="L105" s="102"/>
      <c r="M105" s="102"/>
    </row>
    <row r="106" spans="1:13" ht="12.75">
      <c r="A106" s="102"/>
      <c r="B106" s="102"/>
      <c r="C106" s="102"/>
      <c r="D106" s="103" t="s">
        <v>863</v>
      </c>
      <c r="E106" s="102"/>
      <c r="F106" s="104">
        <v>6.13</v>
      </c>
      <c r="G106" s="102"/>
      <c r="H106" s="102"/>
      <c r="I106" s="102"/>
      <c r="J106" s="102"/>
      <c r="K106" s="102"/>
      <c r="L106" s="102"/>
      <c r="M106" s="102"/>
    </row>
    <row r="107" spans="1:13" ht="12.75">
      <c r="A107" s="102"/>
      <c r="B107" s="102"/>
      <c r="C107" s="102"/>
      <c r="D107" s="103" t="s">
        <v>864</v>
      </c>
      <c r="E107" s="102"/>
      <c r="F107" s="104">
        <v>15.14</v>
      </c>
      <c r="G107" s="102"/>
      <c r="H107" s="102"/>
      <c r="I107" s="102"/>
      <c r="J107" s="102"/>
      <c r="K107" s="102"/>
      <c r="L107" s="102"/>
      <c r="M107" s="102"/>
    </row>
    <row r="108" spans="1:48" ht="12.75">
      <c r="A108" s="99" t="s">
        <v>31</v>
      </c>
      <c r="B108" s="99" t="s">
        <v>406</v>
      </c>
      <c r="C108" s="99" t="s">
        <v>440</v>
      </c>
      <c r="D108" s="99" t="s">
        <v>865</v>
      </c>
      <c r="E108" s="99" t="s">
        <v>1640</v>
      </c>
      <c r="F108" s="100">
        <v>22.54</v>
      </c>
      <c r="G108" s="100">
        <v>0</v>
      </c>
      <c r="H108" s="100">
        <f>F108*AE108</f>
        <v>0</v>
      </c>
      <c r="I108" s="100">
        <f>J108-H108</f>
        <v>0</v>
      </c>
      <c r="J108" s="100">
        <f>F108*G108</f>
        <v>0</v>
      </c>
      <c r="K108" s="100">
        <v>0.46911</v>
      </c>
      <c r="L108" s="100">
        <f>F108*K108</f>
        <v>10.573739400000001</v>
      </c>
      <c r="M108" s="101" t="s">
        <v>1667</v>
      </c>
      <c r="P108" s="14">
        <f>IF(AG108="5",J108,0)</f>
        <v>0</v>
      </c>
      <c r="R108" s="14">
        <f>IF(AG108="1",H108,0)</f>
        <v>0</v>
      </c>
      <c r="S108" s="14">
        <f>IF(AG108="1",I108,0)</f>
        <v>0</v>
      </c>
      <c r="T108" s="14">
        <f>IF(AG108="7",H108,0)</f>
        <v>0</v>
      </c>
      <c r="U108" s="14">
        <f>IF(AG108="7",I108,0)</f>
        <v>0</v>
      </c>
      <c r="V108" s="14">
        <f>IF(AG108="2",H108,0)</f>
        <v>0</v>
      </c>
      <c r="W108" s="14">
        <f>IF(AG108="2",I108,0)</f>
        <v>0</v>
      </c>
      <c r="X108" s="14">
        <f>IF(AG108="0",J108,0)</f>
        <v>0</v>
      </c>
      <c r="Y108" s="8" t="s">
        <v>406</v>
      </c>
      <c r="Z108" s="5">
        <f>IF(AD108=0,J108,0)</f>
        <v>0</v>
      </c>
      <c r="AA108" s="5">
        <f>IF(AD108=15,J108,0)</f>
        <v>0</v>
      </c>
      <c r="AB108" s="5">
        <f>IF(AD108=21,J108,0)</f>
        <v>0</v>
      </c>
      <c r="AD108" s="14">
        <v>15</v>
      </c>
      <c r="AE108" s="14">
        <f>G108*0.633159441587068</f>
        <v>0</v>
      </c>
      <c r="AF108" s="14">
        <f>G108*(1-0.633159441587068)</f>
        <v>0</v>
      </c>
      <c r="AG108" s="10" t="s">
        <v>7</v>
      </c>
      <c r="AM108" s="14">
        <f>F108*AE108</f>
        <v>0</v>
      </c>
      <c r="AN108" s="14">
        <f>F108*AF108</f>
        <v>0</v>
      </c>
      <c r="AO108" s="15" t="s">
        <v>1686</v>
      </c>
      <c r="AP108" s="15" t="s">
        <v>1728</v>
      </c>
      <c r="AQ108" s="8" t="s">
        <v>1769</v>
      </c>
      <c r="AS108" s="14">
        <f>AM108+AN108</f>
        <v>0</v>
      </c>
      <c r="AT108" s="14">
        <f>G108/(100-AU108)*100</f>
        <v>0</v>
      </c>
      <c r="AU108" s="14">
        <v>0</v>
      </c>
      <c r="AV108" s="14">
        <f>L108</f>
        <v>10.573739400000001</v>
      </c>
    </row>
    <row r="109" spans="1:13" ht="12.75">
      <c r="A109" s="102"/>
      <c r="B109" s="102"/>
      <c r="C109" s="102"/>
      <c r="D109" s="103" t="s">
        <v>866</v>
      </c>
      <c r="E109" s="102"/>
      <c r="F109" s="104">
        <v>26.2</v>
      </c>
      <c r="G109" s="102"/>
      <c r="H109" s="102"/>
      <c r="I109" s="102"/>
      <c r="J109" s="102"/>
      <c r="K109" s="102"/>
      <c r="L109" s="102"/>
      <c r="M109" s="102"/>
    </row>
    <row r="110" spans="1:13" ht="12.75">
      <c r="A110" s="102"/>
      <c r="B110" s="102"/>
      <c r="C110" s="102"/>
      <c r="D110" s="103" t="s">
        <v>867</v>
      </c>
      <c r="E110" s="102"/>
      <c r="F110" s="104">
        <v>-1.94</v>
      </c>
      <c r="G110" s="102"/>
      <c r="H110" s="102"/>
      <c r="I110" s="102"/>
      <c r="J110" s="102"/>
      <c r="K110" s="102"/>
      <c r="L110" s="102"/>
      <c r="M110" s="102"/>
    </row>
    <row r="111" spans="1:13" ht="12.75">
      <c r="A111" s="102"/>
      <c r="B111" s="102"/>
      <c r="C111" s="102"/>
      <c r="D111" s="103" t="s">
        <v>868</v>
      </c>
      <c r="E111" s="102"/>
      <c r="F111" s="104">
        <v>-1.72</v>
      </c>
      <c r="G111" s="102"/>
      <c r="H111" s="102"/>
      <c r="I111" s="102"/>
      <c r="J111" s="102"/>
      <c r="K111" s="102"/>
      <c r="L111" s="102"/>
      <c r="M111" s="102"/>
    </row>
    <row r="112" spans="1:48" ht="12.75">
      <c r="A112" s="99" t="s">
        <v>32</v>
      </c>
      <c r="B112" s="99" t="s">
        <v>406</v>
      </c>
      <c r="C112" s="99" t="s">
        <v>441</v>
      </c>
      <c r="D112" s="99" t="s">
        <v>869</v>
      </c>
      <c r="E112" s="99" t="s">
        <v>1644</v>
      </c>
      <c r="F112" s="100">
        <v>2</v>
      </c>
      <c r="G112" s="100">
        <v>0</v>
      </c>
      <c r="H112" s="100">
        <f>F112*AE112</f>
        <v>0</v>
      </c>
      <c r="I112" s="100">
        <f>J112-H112</f>
        <v>0</v>
      </c>
      <c r="J112" s="100">
        <f>F112*G112</f>
        <v>0</v>
      </c>
      <c r="K112" s="100">
        <v>0.16354</v>
      </c>
      <c r="L112" s="100">
        <f>F112*K112</f>
        <v>0.32708</v>
      </c>
      <c r="M112" s="101" t="s">
        <v>1667</v>
      </c>
      <c r="P112" s="14">
        <f>IF(AG112="5",J112,0)</f>
        <v>0</v>
      </c>
      <c r="R112" s="14">
        <f>IF(AG112="1",H112,0)</f>
        <v>0</v>
      </c>
      <c r="S112" s="14">
        <f>IF(AG112="1",I112,0)</f>
        <v>0</v>
      </c>
      <c r="T112" s="14">
        <f>IF(AG112="7",H112,0)</f>
        <v>0</v>
      </c>
      <c r="U112" s="14">
        <f>IF(AG112="7",I112,0)</f>
        <v>0</v>
      </c>
      <c r="V112" s="14">
        <f>IF(AG112="2",H112,0)</f>
        <v>0</v>
      </c>
      <c r="W112" s="14">
        <f>IF(AG112="2",I112,0)</f>
        <v>0</v>
      </c>
      <c r="X112" s="14">
        <f>IF(AG112="0",J112,0)</f>
        <v>0</v>
      </c>
      <c r="Y112" s="8" t="s">
        <v>406</v>
      </c>
      <c r="Z112" s="5">
        <f>IF(AD112=0,J112,0)</f>
        <v>0</v>
      </c>
      <c r="AA112" s="5">
        <f>IF(AD112=15,J112,0)</f>
        <v>0</v>
      </c>
      <c r="AB112" s="5">
        <f>IF(AD112=21,J112,0)</f>
        <v>0</v>
      </c>
      <c r="AD112" s="14">
        <v>15</v>
      </c>
      <c r="AE112" s="14">
        <f>G112*0.796457654723127</f>
        <v>0</v>
      </c>
      <c r="AF112" s="14">
        <f>G112*(1-0.796457654723127)</f>
        <v>0</v>
      </c>
      <c r="AG112" s="10" t="s">
        <v>7</v>
      </c>
      <c r="AM112" s="14">
        <f>F112*AE112</f>
        <v>0</v>
      </c>
      <c r="AN112" s="14">
        <f>F112*AF112</f>
        <v>0</v>
      </c>
      <c r="AO112" s="15" t="s">
        <v>1686</v>
      </c>
      <c r="AP112" s="15" t="s">
        <v>1728</v>
      </c>
      <c r="AQ112" s="8" t="s">
        <v>1769</v>
      </c>
      <c r="AS112" s="14">
        <f>AM112+AN112</f>
        <v>0</v>
      </c>
      <c r="AT112" s="14">
        <f>G112/(100-AU112)*100</f>
        <v>0</v>
      </c>
      <c r="AU112" s="14">
        <v>0</v>
      </c>
      <c r="AV112" s="14">
        <f>L112</f>
        <v>0.32708</v>
      </c>
    </row>
    <row r="113" spans="1:13" ht="12.75">
      <c r="A113" s="102"/>
      <c r="B113" s="102"/>
      <c r="C113" s="102"/>
      <c r="D113" s="103" t="s">
        <v>870</v>
      </c>
      <c r="E113" s="102"/>
      <c r="F113" s="104">
        <v>2</v>
      </c>
      <c r="G113" s="102"/>
      <c r="H113" s="102"/>
      <c r="I113" s="102"/>
      <c r="J113" s="102"/>
      <c r="K113" s="102"/>
      <c r="L113" s="102"/>
      <c r="M113" s="102"/>
    </row>
    <row r="114" spans="1:48" ht="12.75">
      <c r="A114" s="99" t="s">
        <v>33</v>
      </c>
      <c r="B114" s="99" t="s">
        <v>406</v>
      </c>
      <c r="C114" s="99" t="s">
        <v>442</v>
      </c>
      <c r="D114" s="99" t="s">
        <v>871</v>
      </c>
      <c r="E114" s="99" t="s">
        <v>1644</v>
      </c>
      <c r="F114" s="100">
        <v>1</v>
      </c>
      <c r="G114" s="100">
        <v>0</v>
      </c>
      <c r="H114" s="100">
        <f>F114*AE114</f>
        <v>0</v>
      </c>
      <c r="I114" s="100">
        <f>J114-H114</f>
        <v>0</v>
      </c>
      <c r="J114" s="100">
        <f>F114*G114</f>
        <v>0</v>
      </c>
      <c r="K114" s="100">
        <v>0.2275</v>
      </c>
      <c r="L114" s="100">
        <f>F114*K114</f>
        <v>0.2275</v>
      </c>
      <c r="M114" s="101" t="s">
        <v>1667</v>
      </c>
      <c r="P114" s="14">
        <f>IF(AG114="5",J114,0)</f>
        <v>0</v>
      </c>
      <c r="R114" s="14">
        <f>IF(AG114="1",H114,0)</f>
        <v>0</v>
      </c>
      <c r="S114" s="14">
        <f>IF(AG114="1",I114,0)</f>
        <v>0</v>
      </c>
      <c r="T114" s="14">
        <f>IF(AG114="7",H114,0)</f>
        <v>0</v>
      </c>
      <c r="U114" s="14">
        <f>IF(AG114="7",I114,0)</f>
        <v>0</v>
      </c>
      <c r="V114" s="14">
        <f>IF(AG114="2",H114,0)</f>
        <v>0</v>
      </c>
      <c r="W114" s="14">
        <f>IF(AG114="2",I114,0)</f>
        <v>0</v>
      </c>
      <c r="X114" s="14">
        <f>IF(AG114="0",J114,0)</f>
        <v>0</v>
      </c>
      <c r="Y114" s="8" t="s">
        <v>406</v>
      </c>
      <c r="Z114" s="5">
        <f>IF(AD114=0,J114,0)</f>
        <v>0</v>
      </c>
      <c r="AA114" s="5">
        <f>IF(AD114=15,J114,0)</f>
        <v>0</v>
      </c>
      <c r="AB114" s="5">
        <f>IF(AD114=21,J114,0)</f>
        <v>0</v>
      </c>
      <c r="AD114" s="14">
        <v>15</v>
      </c>
      <c r="AE114" s="14">
        <f>G114*0.823606210303458</f>
        <v>0</v>
      </c>
      <c r="AF114" s="14">
        <f>G114*(1-0.823606210303458)</f>
        <v>0</v>
      </c>
      <c r="AG114" s="10" t="s">
        <v>7</v>
      </c>
      <c r="AM114" s="14">
        <f>F114*AE114</f>
        <v>0</v>
      </c>
      <c r="AN114" s="14">
        <f>F114*AF114</f>
        <v>0</v>
      </c>
      <c r="AO114" s="15" t="s">
        <v>1686</v>
      </c>
      <c r="AP114" s="15" t="s">
        <v>1728</v>
      </c>
      <c r="AQ114" s="8" t="s">
        <v>1769</v>
      </c>
      <c r="AS114" s="14">
        <f>AM114+AN114</f>
        <v>0</v>
      </c>
      <c r="AT114" s="14">
        <f>G114/(100-AU114)*100</f>
        <v>0</v>
      </c>
      <c r="AU114" s="14">
        <v>0</v>
      </c>
      <c r="AV114" s="14">
        <f>L114</f>
        <v>0.2275</v>
      </c>
    </row>
    <row r="115" spans="1:13" ht="12.75">
      <c r="A115" s="102"/>
      <c r="B115" s="102"/>
      <c r="C115" s="102"/>
      <c r="D115" s="103" t="s">
        <v>872</v>
      </c>
      <c r="E115" s="102"/>
      <c r="F115" s="104">
        <v>1</v>
      </c>
      <c r="G115" s="102"/>
      <c r="H115" s="102"/>
      <c r="I115" s="102"/>
      <c r="J115" s="102"/>
      <c r="K115" s="102"/>
      <c r="L115" s="102"/>
      <c r="M115" s="102"/>
    </row>
    <row r="116" spans="1:48" ht="12.75">
      <c r="A116" s="99" t="s">
        <v>34</v>
      </c>
      <c r="B116" s="99" t="s">
        <v>406</v>
      </c>
      <c r="C116" s="99" t="s">
        <v>443</v>
      </c>
      <c r="D116" s="99" t="s">
        <v>873</v>
      </c>
      <c r="E116" s="99" t="s">
        <v>1644</v>
      </c>
      <c r="F116" s="100">
        <v>3</v>
      </c>
      <c r="G116" s="100">
        <v>0</v>
      </c>
      <c r="H116" s="100">
        <f>F116*AE116</f>
        <v>0</v>
      </c>
      <c r="I116" s="100">
        <f>J116-H116</f>
        <v>0</v>
      </c>
      <c r="J116" s="100">
        <f>F116*G116</f>
        <v>0</v>
      </c>
      <c r="K116" s="100">
        <v>0.3249</v>
      </c>
      <c r="L116" s="100">
        <f>F116*K116</f>
        <v>0.9747000000000001</v>
      </c>
      <c r="M116" s="101" t="s">
        <v>1667</v>
      </c>
      <c r="P116" s="14">
        <f>IF(AG116="5",J116,0)</f>
        <v>0</v>
      </c>
      <c r="R116" s="14">
        <f>IF(AG116="1",H116,0)</f>
        <v>0</v>
      </c>
      <c r="S116" s="14">
        <f>IF(AG116="1",I116,0)</f>
        <v>0</v>
      </c>
      <c r="T116" s="14">
        <f>IF(AG116="7",H116,0)</f>
        <v>0</v>
      </c>
      <c r="U116" s="14">
        <f>IF(AG116="7",I116,0)</f>
        <v>0</v>
      </c>
      <c r="V116" s="14">
        <f>IF(AG116="2",H116,0)</f>
        <v>0</v>
      </c>
      <c r="W116" s="14">
        <f>IF(AG116="2",I116,0)</f>
        <v>0</v>
      </c>
      <c r="X116" s="14">
        <f>IF(AG116="0",J116,0)</f>
        <v>0</v>
      </c>
      <c r="Y116" s="8" t="s">
        <v>406</v>
      </c>
      <c r="Z116" s="5">
        <f>IF(AD116=0,J116,0)</f>
        <v>0</v>
      </c>
      <c r="AA116" s="5">
        <f>IF(AD116=15,J116,0)</f>
        <v>0</v>
      </c>
      <c r="AB116" s="5">
        <f>IF(AD116=21,J116,0)</f>
        <v>0</v>
      </c>
      <c r="AD116" s="14">
        <v>15</v>
      </c>
      <c r="AE116" s="14">
        <f>G116*0.892725321888412</f>
        <v>0</v>
      </c>
      <c r="AF116" s="14">
        <f>G116*(1-0.892725321888412)</f>
        <v>0</v>
      </c>
      <c r="AG116" s="10" t="s">
        <v>7</v>
      </c>
      <c r="AM116" s="14">
        <f>F116*AE116</f>
        <v>0</v>
      </c>
      <c r="AN116" s="14">
        <f>F116*AF116</f>
        <v>0</v>
      </c>
      <c r="AO116" s="15" t="s">
        <v>1686</v>
      </c>
      <c r="AP116" s="15" t="s">
        <v>1728</v>
      </c>
      <c r="AQ116" s="8" t="s">
        <v>1769</v>
      </c>
      <c r="AS116" s="14">
        <f>AM116+AN116</f>
        <v>0</v>
      </c>
      <c r="AT116" s="14">
        <f>G116/(100-AU116)*100</f>
        <v>0</v>
      </c>
      <c r="AU116" s="14">
        <v>0</v>
      </c>
      <c r="AV116" s="14">
        <f>L116</f>
        <v>0.9747000000000001</v>
      </c>
    </row>
    <row r="117" spans="1:13" ht="12.75">
      <c r="A117" s="102"/>
      <c r="B117" s="102"/>
      <c r="C117" s="102"/>
      <c r="D117" s="103" t="s">
        <v>874</v>
      </c>
      <c r="E117" s="102"/>
      <c r="F117" s="104">
        <v>2</v>
      </c>
      <c r="G117" s="102"/>
      <c r="H117" s="102"/>
      <c r="I117" s="102"/>
      <c r="J117" s="102"/>
      <c r="K117" s="102"/>
      <c r="L117" s="102"/>
      <c r="M117" s="102"/>
    </row>
    <row r="118" spans="1:13" ht="12.75">
      <c r="A118" s="102"/>
      <c r="B118" s="102"/>
      <c r="C118" s="102"/>
      <c r="D118" s="103" t="s">
        <v>875</v>
      </c>
      <c r="E118" s="102"/>
      <c r="F118" s="104">
        <v>1</v>
      </c>
      <c r="G118" s="102"/>
      <c r="H118" s="102"/>
      <c r="I118" s="102"/>
      <c r="J118" s="102"/>
      <c r="K118" s="102"/>
      <c r="L118" s="102"/>
      <c r="M118" s="102"/>
    </row>
    <row r="119" spans="1:48" ht="12.75">
      <c r="A119" s="99" t="s">
        <v>35</v>
      </c>
      <c r="B119" s="99" t="s">
        <v>406</v>
      </c>
      <c r="C119" s="99" t="s">
        <v>444</v>
      </c>
      <c r="D119" s="99" t="s">
        <v>876</v>
      </c>
      <c r="E119" s="99" t="s">
        <v>1644</v>
      </c>
      <c r="F119" s="100">
        <v>1</v>
      </c>
      <c r="G119" s="100">
        <v>0</v>
      </c>
      <c r="H119" s="100">
        <f>F119*AE119</f>
        <v>0</v>
      </c>
      <c r="I119" s="100">
        <f>J119-H119</f>
        <v>0</v>
      </c>
      <c r="J119" s="100">
        <f>F119*G119</f>
        <v>0</v>
      </c>
      <c r="K119" s="100">
        <v>0.14506</v>
      </c>
      <c r="L119" s="100">
        <f>F119*K119</f>
        <v>0.14506</v>
      </c>
      <c r="M119" s="101" t="s">
        <v>1667</v>
      </c>
      <c r="P119" s="14">
        <f>IF(AG119="5",J119,0)</f>
        <v>0</v>
      </c>
      <c r="R119" s="14">
        <f>IF(AG119="1",H119,0)</f>
        <v>0</v>
      </c>
      <c r="S119" s="14">
        <f>IF(AG119="1",I119,0)</f>
        <v>0</v>
      </c>
      <c r="T119" s="14">
        <f>IF(AG119="7",H119,0)</f>
        <v>0</v>
      </c>
      <c r="U119" s="14">
        <f>IF(AG119="7",I119,0)</f>
        <v>0</v>
      </c>
      <c r="V119" s="14">
        <f>IF(AG119="2",H119,0)</f>
        <v>0</v>
      </c>
      <c r="W119" s="14">
        <f>IF(AG119="2",I119,0)</f>
        <v>0</v>
      </c>
      <c r="X119" s="14">
        <f>IF(AG119="0",J119,0)</f>
        <v>0</v>
      </c>
      <c r="Y119" s="8" t="s">
        <v>406</v>
      </c>
      <c r="Z119" s="5">
        <f>IF(AD119=0,J119,0)</f>
        <v>0</v>
      </c>
      <c r="AA119" s="5">
        <f>IF(AD119=15,J119,0)</f>
        <v>0</v>
      </c>
      <c r="AB119" s="5">
        <f>IF(AD119=21,J119,0)</f>
        <v>0</v>
      </c>
      <c r="AD119" s="14">
        <v>15</v>
      </c>
      <c r="AE119" s="14">
        <f>G119*0.821368191595744</f>
        <v>0</v>
      </c>
      <c r="AF119" s="14">
        <f>G119*(1-0.821368191595744)</f>
        <v>0</v>
      </c>
      <c r="AG119" s="10" t="s">
        <v>7</v>
      </c>
      <c r="AM119" s="14">
        <f>F119*AE119</f>
        <v>0</v>
      </c>
      <c r="AN119" s="14">
        <f>F119*AF119</f>
        <v>0</v>
      </c>
      <c r="AO119" s="15" t="s">
        <v>1686</v>
      </c>
      <c r="AP119" s="15" t="s">
        <v>1728</v>
      </c>
      <c r="AQ119" s="8" t="s">
        <v>1769</v>
      </c>
      <c r="AS119" s="14">
        <f>AM119+AN119</f>
        <v>0</v>
      </c>
      <c r="AT119" s="14">
        <f>G119/(100-AU119)*100</f>
        <v>0</v>
      </c>
      <c r="AU119" s="14">
        <v>0</v>
      </c>
      <c r="AV119" s="14">
        <f>L119</f>
        <v>0.14506</v>
      </c>
    </row>
    <row r="120" spans="1:13" ht="12.75">
      <c r="A120" s="102"/>
      <c r="B120" s="102"/>
      <c r="C120" s="102"/>
      <c r="D120" s="103" t="s">
        <v>877</v>
      </c>
      <c r="E120" s="102"/>
      <c r="F120" s="104">
        <v>1</v>
      </c>
      <c r="G120" s="102"/>
      <c r="H120" s="102"/>
      <c r="I120" s="102"/>
      <c r="J120" s="102"/>
      <c r="K120" s="102"/>
      <c r="L120" s="102"/>
      <c r="M120" s="102"/>
    </row>
    <row r="121" spans="1:48" ht="12.75">
      <c r="A121" s="99" t="s">
        <v>36</v>
      </c>
      <c r="B121" s="99" t="s">
        <v>406</v>
      </c>
      <c r="C121" s="99" t="s">
        <v>445</v>
      </c>
      <c r="D121" s="99" t="s">
        <v>878</v>
      </c>
      <c r="E121" s="99" t="s">
        <v>1644</v>
      </c>
      <c r="F121" s="100">
        <v>5</v>
      </c>
      <c r="G121" s="100">
        <v>0</v>
      </c>
      <c r="H121" s="100">
        <f>F121*AE121</f>
        <v>0</v>
      </c>
      <c r="I121" s="100">
        <f>J121-H121</f>
        <v>0</v>
      </c>
      <c r="J121" s="100">
        <f>F121*G121</f>
        <v>0</v>
      </c>
      <c r="K121" s="100">
        <v>0.06467</v>
      </c>
      <c r="L121" s="100">
        <f>F121*K121</f>
        <v>0.32335</v>
      </c>
      <c r="M121" s="101" t="s">
        <v>1667</v>
      </c>
      <c r="P121" s="14">
        <f>IF(AG121="5",J121,0)</f>
        <v>0</v>
      </c>
      <c r="R121" s="14">
        <f>IF(AG121="1",H121,0)</f>
        <v>0</v>
      </c>
      <c r="S121" s="14">
        <f>IF(AG121="1",I121,0)</f>
        <v>0</v>
      </c>
      <c r="T121" s="14">
        <f>IF(AG121="7",H121,0)</f>
        <v>0</v>
      </c>
      <c r="U121" s="14">
        <f>IF(AG121="7",I121,0)</f>
        <v>0</v>
      </c>
      <c r="V121" s="14">
        <f>IF(AG121="2",H121,0)</f>
        <v>0</v>
      </c>
      <c r="W121" s="14">
        <f>IF(AG121="2",I121,0)</f>
        <v>0</v>
      </c>
      <c r="X121" s="14">
        <f>IF(AG121="0",J121,0)</f>
        <v>0</v>
      </c>
      <c r="Y121" s="8" t="s">
        <v>406</v>
      </c>
      <c r="Z121" s="5">
        <f>IF(AD121=0,J121,0)</f>
        <v>0</v>
      </c>
      <c r="AA121" s="5">
        <f>IF(AD121=15,J121,0)</f>
        <v>0</v>
      </c>
      <c r="AB121" s="5">
        <f>IF(AD121=21,J121,0)</f>
        <v>0</v>
      </c>
      <c r="AD121" s="14">
        <v>15</v>
      </c>
      <c r="AE121" s="14">
        <f>G121*0.681245283018868</f>
        <v>0</v>
      </c>
      <c r="AF121" s="14">
        <f>G121*(1-0.681245283018868)</f>
        <v>0</v>
      </c>
      <c r="AG121" s="10" t="s">
        <v>7</v>
      </c>
      <c r="AM121" s="14">
        <f>F121*AE121</f>
        <v>0</v>
      </c>
      <c r="AN121" s="14">
        <f>F121*AF121</f>
        <v>0</v>
      </c>
      <c r="AO121" s="15" t="s">
        <v>1686</v>
      </c>
      <c r="AP121" s="15" t="s">
        <v>1728</v>
      </c>
      <c r="AQ121" s="8" t="s">
        <v>1769</v>
      </c>
      <c r="AS121" s="14">
        <f>AM121+AN121</f>
        <v>0</v>
      </c>
      <c r="AT121" s="14">
        <f>G121/(100-AU121)*100</f>
        <v>0</v>
      </c>
      <c r="AU121" s="14">
        <v>0</v>
      </c>
      <c r="AV121" s="14">
        <f>L121</f>
        <v>0.32335</v>
      </c>
    </row>
    <row r="122" spans="1:13" ht="12.75">
      <c r="A122" s="102"/>
      <c r="B122" s="102"/>
      <c r="C122" s="102"/>
      <c r="D122" s="103" t="s">
        <v>879</v>
      </c>
      <c r="E122" s="102"/>
      <c r="F122" s="104">
        <v>1</v>
      </c>
      <c r="G122" s="102"/>
      <c r="H122" s="102"/>
      <c r="I122" s="102"/>
      <c r="J122" s="102"/>
      <c r="K122" s="102"/>
      <c r="L122" s="102"/>
      <c r="M122" s="102"/>
    </row>
    <row r="123" spans="1:13" ht="12.75">
      <c r="A123" s="102"/>
      <c r="B123" s="102"/>
      <c r="C123" s="102"/>
      <c r="D123" s="103" t="s">
        <v>880</v>
      </c>
      <c r="E123" s="102"/>
      <c r="F123" s="104">
        <v>4</v>
      </c>
      <c r="G123" s="102"/>
      <c r="H123" s="102"/>
      <c r="I123" s="102"/>
      <c r="J123" s="102"/>
      <c r="K123" s="102"/>
      <c r="L123" s="102"/>
      <c r="M123" s="102"/>
    </row>
    <row r="124" spans="1:48" ht="12.75">
      <c r="A124" s="99" t="s">
        <v>37</v>
      </c>
      <c r="B124" s="99" t="s">
        <v>406</v>
      </c>
      <c r="C124" s="99" t="s">
        <v>446</v>
      </c>
      <c r="D124" s="99" t="s">
        <v>881</v>
      </c>
      <c r="E124" s="99" t="s">
        <v>1644</v>
      </c>
      <c r="F124" s="100">
        <v>2</v>
      </c>
      <c r="G124" s="100">
        <v>0</v>
      </c>
      <c r="H124" s="100">
        <f>F124*AE124</f>
        <v>0</v>
      </c>
      <c r="I124" s="100">
        <f>J124-H124</f>
        <v>0</v>
      </c>
      <c r="J124" s="100">
        <f>F124*G124</f>
        <v>0</v>
      </c>
      <c r="K124" s="100">
        <v>0.05233</v>
      </c>
      <c r="L124" s="100">
        <f>F124*K124</f>
        <v>0.10466</v>
      </c>
      <c r="M124" s="101" t="s">
        <v>1667</v>
      </c>
      <c r="P124" s="14">
        <f>IF(AG124="5",J124,0)</f>
        <v>0</v>
      </c>
      <c r="R124" s="14">
        <f>IF(AG124="1",H124,0)</f>
        <v>0</v>
      </c>
      <c r="S124" s="14">
        <f>IF(AG124="1",I124,0)</f>
        <v>0</v>
      </c>
      <c r="T124" s="14">
        <f>IF(AG124="7",H124,0)</f>
        <v>0</v>
      </c>
      <c r="U124" s="14">
        <f>IF(AG124="7",I124,0)</f>
        <v>0</v>
      </c>
      <c r="V124" s="14">
        <f>IF(AG124="2",H124,0)</f>
        <v>0</v>
      </c>
      <c r="W124" s="14">
        <f>IF(AG124="2",I124,0)</f>
        <v>0</v>
      </c>
      <c r="X124" s="14">
        <f>IF(AG124="0",J124,0)</f>
        <v>0</v>
      </c>
      <c r="Y124" s="8" t="s">
        <v>406</v>
      </c>
      <c r="Z124" s="5">
        <f>IF(AD124=0,J124,0)</f>
        <v>0</v>
      </c>
      <c r="AA124" s="5">
        <f>IF(AD124=15,J124,0)</f>
        <v>0</v>
      </c>
      <c r="AB124" s="5">
        <f>IF(AD124=21,J124,0)</f>
        <v>0</v>
      </c>
      <c r="AD124" s="14">
        <v>15</v>
      </c>
      <c r="AE124" s="14">
        <f>G124*0.624994450610433</f>
        <v>0</v>
      </c>
      <c r="AF124" s="14">
        <f>G124*(1-0.624994450610433)</f>
        <v>0</v>
      </c>
      <c r="AG124" s="10" t="s">
        <v>7</v>
      </c>
      <c r="AM124" s="14">
        <f>F124*AE124</f>
        <v>0</v>
      </c>
      <c r="AN124" s="14">
        <f>F124*AF124</f>
        <v>0</v>
      </c>
      <c r="AO124" s="15" t="s">
        <v>1686</v>
      </c>
      <c r="AP124" s="15" t="s">
        <v>1728</v>
      </c>
      <c r="AQ124" s="8" t="s">
        <v>1769</v>
      </c>
      <c r="AS124" s="14">
        <f>AM124+AN124</f>
        <v>0</v>
      </c>
      <c r="AT124" s="14">
        <f>G124/(100-AU124)*100</f>
        <v>0</v>
      </c>
      <c r="AU124" s="14">
        <v>0</v>
      </c>
      <c r="AV124" s="14">
        <f>L124</f>
        <v>0.10466</v>
      </c>
    </row>
    <row r="125" spans="1:13" ht="12.75">
      <c r="A125" s="102"/>
      <c r="B125" s="102"/>
      <c r="C125" s="102"/>
      <c r="D125" s="103" t="s">
        <v>879</v>
      </c>
      <c r="E125" s="102"/>
      <c r="F125" s="104">
        <v>1</v>
      </c>
      <c r="G125" s="102"/>
      <c r="H125" s="102"/>
      <c r="I125" s="102"/>
      <c r="J125" s="102"/>
      <c r="K125" s="102"/>
      <c r="L125" s="102"/>
      <c r="M125" s="102"/>
    </row>
    <row r="126" spans="1:13" ht="12.75">
      <c r="A126" s="102"/>
      <c r="B126" s="102"/>
      <c r="C126" s="102"/>
      <c r="D126" s="103" t="s">
        <v>875</v>
      </c>
      <c r="E126" s="102"/>
      <c r="F126" s="104">
        <v>1</v>
      </c>
      <c r="G126" s="102"/>
      <c r="H126" s="102"/>
      <c r="I126" s="102"/>
      <c r="J126" s="102"/>
      <c r="K126" s="102"/>
      <c r="L126" s="102"/>
      <c r="M126" s="102"/>
    </row>
    <row r="127" spans="1:48" ht="12.75">
      <c r="A127" s="99" t="s">
        <v>38</v>
      </c>
      <c r="B127" s="99" t="s">
        <v>406</v>
      </c>
      <c r="C127" s="99" t="s">
        <v>447</v>
      </c>
      <c r="D127" s="99" t="s">
        <v>882</v>
      </c>
      <c r="E127" s="99" t="s">
        <v>1644</v>
      </c>
      <c r="F127" s="100">
        <v>2</v>
      </c>
      <c r="G127" s="100">
        <v>0</v>
      </c>
      <c r="H127" s="100">
        <f>F127*AE127</f>
        <v>0</v>
      </c>
      <c r="I127" s="100">
        <f>J127-H127</f>
        <v>0</v>
      </c>
      <c r="J127" s="100">
        <f>F127*G127</f>
        <v>0</v>
      </c>
      <c r="K127" s="100">
        <v>0.10272</v>
      </c>
      <c r="L127" s="100">
        <f>F127*K127</f>
        <v>0.20544</v>
      </c>
      <c r="M127" s="101" t="s">
        <v>1667</v>
      </c>
      <c r="P127" s="14">
        <f>IF(AG127="5",J127,0)</f>
        <v>0</v>
      </c>
      <c r="R127" s="14">
        <f>IF(AG127="1",H127,0)</f>
        <v>0</v>
      </c>
      <c r="S127" s="14">
        <f>IF(AG127="1",I127,0)</f>
        <v>0</v>
      </c>
      <c r="T127" s="14">
        <f>IF(AG127="7",H127,0)</f>
        <v>0</v>
      </c>
      <c r="U127" s="14">
        <f>IF(AG127="7",I127,0)</f>
        <v>0</v>
      </c>
      <c r="V127" s="14">
        <f>IF(AG127="2",H127,0)</f>
        <v>0</v>
      </c>
      <c r="W127" s="14">
        <f>IF(AG127="2",I127,0)</f>
        <v>0</v>
      </c>
      <c r="X127" s="14">
        <f>IF(AG127="0",J127,0)</f>
        <v>0</v>
      </c>
      <c r="Y127" s="8" t="s">
        <v>406</v>
      </c>
      <c r="Z127" s="5">
        <f>IF(AD127=0,J127,0)</f>
        <v>0</v>
      </c>
      <c r="AA127" s="5">
        <f>IF(AD127=15,J127,0)</f>
        <v>0</v>
      </c>
      <c r="AB127" s="5">
        <f>IF(AD127=21,J127,0)</f>
        <v>0</v>
      </c>
      <c r="AD127" s="14">
        <v>15</v>
      </c>
      <c r="AE127" s="14">
        <f>G127*0.785371621621621</f>
        <v>0</v>
      </c>
      <c r="AF127" s="14">
        <f>G127*(1-0.785371621621621)</f>
        <v>0</v>
      </c>
      <c r="AG127" s="10" t="s">
        <v>7</v>
      </c>
      <c r="AM127" s="14">
        <f>F127*AE127</f>
        <v>0</v>
      </c>
      <c r="AN127" s="14">
        <f>F127*AF127</f>
        <v>0</v>
      </c>
      <c r="AO127" s="15" t="s">
        <v>1686</v>
      </c>
      <c r="AP127" s="15" t="s">
        <v>1728</v>
      </c>
      <c r="AQ127" s="8" t="s">
        <v>1769</v>
      </c>
      <c r="AS127" s="14">
        <f>AM127+AN127</f>
        <v>0</v>
      </c>
      <c r="AT127" s="14">
        <f>G127/(100-AU127)*100</f>
        <v>0</v>
      </c>
      <c r="AU127" s="14">
        <v>0</v>
      </c>
      <c r="AV127" s="14">
        <f>L127</f>
        <v>0.20544</v>
      </c>
    </row>
    <row r="128" spans="1:13" ht="12.75">
      <c r="A128" s="102"/>
      <c r="B128" s="102"/>
      <c r="C128" s="102"/>
      <c r="D128" s="103" t="s">
        <v>879</v>
      </c>
      <c r="E128" s="102"/>
      <c r="F128" s="104">
        <v>1</v>
      </c>
      <c r="G128" s="102"/>
      <c r="H128" s="102"/>
      <c r="I128" s="102"/>
      <c r="J128" s="102"/>
      <c r="K128" s="102"/>
      <c r="L128" s="102"/>
      <c r="M128" s="102"/>
    </row>
    <row r="129" spans="1:13" ht="12.75">
      <c r="A129" s="102"/>
      <c r="B129" s="102"/>
      <c r="C129" s="102"/>
      <c r="D129" s="103" t="s">
        <v>875</v>
      </c>
      <c r="E129" s="102"/>
      <c r="F129" s="104">
        <v>1</v>
      </c>
      <c r="G129" s="102"/>
      <c r="H129" s="102"/>
      <c r="I129" s="102"/>
      <c r="J129" s="102"/>
      <c r="K129" s="102"/>
      <c r="L129" s="102"/>
      <c r="M129" s="102"/>
    </row>
    <row r="130" spans="1:48" ht="12.75">
      <c r="A130" s="99" t="s">
        <v>39</v>
      </c>
      <c r="B130" s="99" t="s">
        <v>406</v>
      </c>
      <c r="C130" s="99" t="s">
        <v>448</v>
      </c>
      <c r="D130" s="99" t="s">
        <v>883</v>
      </c>
      <c r="E130" s="99" t="s">
        <v>1644</v>
      </c>
      <c r="F130" s="100">
        <v>1</v>
      </c>
      <c r="G130" s="100">
        <v>0</v>
      </c>
      <c r="H130" s="100">
        <f>F130*AE130</f>
        <v>0</v>
      </c>
      <c r="I130" s="100">
        <f>J130-H130</f>
        <v>0</v>
      </c>
      <c r="J130" s="100">
        <f>F130*G130</f>
        <v>0</v>
      </c>
      <c r="K130" s="100">
        <v>0.318</v>
      </c>
      <c r="L130" s="100">
        <f>F130*K130</f>
        <v>0.318</v>
      </c>
      <c r="M130" s="101" t="s">
        <v>1667</v>
      </c>
      <c r="P130" s="14">
        <f>IF(AG130="5",J130,0)</f>
        <v>0</v>
      </c>
      <c r="R130" s="14">
        <f>IF(AG130="1",H130,0)</f>
        <v>0</v>
      </c>
      <c r="S130" s="14">
        <f>IF(AG130="1",I130,0)</f>
        <v>0</v>
      </c>
      <c r="T130" s="14">
        <f>IF(AG130="7",H130,0)</f>
        <v>0</v>
      </c>
      <c r="U130" s="14">
        <f>IF(AG130="7",I130,0)</f>
        <v>0</v>
      </c>
      <c r="V130" s="14">
        <f>IF(AG130="2",H130,0)</f>
        <v>0</v>
      </c>
      <c r="W130" s="14">
        <f>IF(AG130="2",I130,0)</f>
        <v>0</v>
      </c>
      <c r="X130" s="14">
        <f>IF(AG130="0",J130,0)</f>
        <v>0</v>
      </c>
      <c r="Y130" s="8" t="s">
        <v>406</v>
      </c>
      <c r="Z130" s="5">
        <f>IF(AD130=0,J130,0)</f>
        <v>0</v>
      </c>
      <c r="AA130" s="5">
        <f>IF(AD130=15,J130,0)</f>
        <v>0</v>
      </c>
      <c r="AB130" s="5">
        <f>IF(AD130=21,J130,0)</f>
        <v>0</v>
      </c>
      <c r="AD130" s="14">
        <v>15</v>
      </c>
      <c r="AE130" s="14">
        <f>G130*0</f>
        <v>0</v>
      </c>
      <c r="AF130" s="14">
        <f>G130*(1-0)</f>
        <v>0</v>
      </c>
      <c r="AG130" s="10" t="s">
        <v>7</v>
      </c>
      <c r="AM130" s="14">
        <f>F130*AE130</f>
        <v>0</v>
      </c>
      <c r="AN130" s="14">
        <f>F130*AF130</f>
        <v>0</v>
      </c>
      <c r="AO130" s="15" t="s">
        <v>1686</v>
      </c>
      <c r="AP130" s="15" t="s">
        <v>1728</v>
      </c>
      <c r="AQ130" s="8" t="s">
        <v>1769</v>
      </c>
      <c r="AS130" s="14">
        <f>AM130+AN130</f>
        <v>0</v>
      </c>
      <c r="AT130" s="14">
        <f>G130/(100-AU130)*100</f>
        <v>0</v>
      </c>
      <c r="AU130" s="14">
        <v>0</v>
      </c>
      <c r="AV130" s="14">
        <f>L130</f>
        <v>0.318</v>
      </c>
    </row>
    <row r="131" spans="1:48" ht="12.75">
      <c r="A131" s="99" t="s">
        <v>40</v>
      </c>
      <c r="B131" s="99" t="s">
        <v>406</v>
      </c>
      <c r="C131" s="99" t="s">
        <v>449</v>
      </c>
      <c r="D131" s="99" t="s">
        <v>884</v>
      </c>
      <c r="E131" s="99" t="s">
        <v>1644</v>
      </c>
      <c r="F131" s="100">
        <v>1</v>
      </c>
      <c r="G131" s="100">
        <v>0</v>
      </c>
      <c r="H131" s="100">
        <f>F131*AE131</f>
        <v>0</v>
      </c>
      <c r="I131" s="100">
        <f>J131-H131</f>
        <v>0</v>
      </c>
      <c r="J131" s="100">
        <f>F131*G131</f>
        <v>0</v>
      </c>
      <c r="K131" s="100">
        <v>0.68</v>
      </c>
      <c r="L131" s="100">
        <f>F131*K131</f>
        <v>0.68</v>
      </c>
      <c r="M131" s="101" t="s">
        <v>1667</v>
      </c>
      <c r="P131" s="14">
        <f>IF(AG131="5",J131,0)</f>
        <v>0</v>
      </c>
      <c r="R131" s="14">
        <f>IF(AG131="1",H131,0)</f>
        <v>0</v>
      </c>
      <c r="S131" s="14">
        <f>IF(AG131="1",I131,0)</f>
        <v>0</v>
      </c>
      <c r="T131" s="14">
        <f>IF(AG131="7",H131,0)</f>
        <v>0</v>
      </c>
      <c r="U131" s="14">
        <f>IF(AG131="7",I131,0)</f>
        <v>0</v>
      </c>
      <c r="V131" s="14">
        <f>IF(AG131="2",H131,0)</f>
        <v>0</v>
      </c>
      <c r="W131" s="14">
        <f>IF(AG131="2",I131,0)</f>
        <v>0</v>
      </c>
      <c r="X131" s="14">
        <f>IF(AG131="0",J131,0)</f>
        <v>0</v>
      </c>
      <c r="Y131" s="8" t="s">
        <v>406</v>
      </c>
      <c r="Z131" s="5">
        <f>IF(AD131=0,J131,0)</f>
        <v>0</v>
      </c>
      <c r="AA131" s="5">
        <f>IF(AD131=15,J131,0)</f>
        <v>0</v>
      </c>
      <c r="AB131" s="5">
        <f>IF(AD131=21,J131,0)</f>
        <v>0</v>
      </c>
      <c r="AD131" s="14">
        <v>15</v>
      </c>
      <c r="AE131" s="14">
        <f>G131*0</f>
        <v>0</v>
      </c>
      <c r="AF131" s="14">
        <f>G131*(1-0)</f>
        <v>0</v>
      </c>
      <c r="AG131" s="10" t="s">
        <v>7</v>
      </c>
      <c r="AM131" s="14">
        <f>F131*AE131</f>
        <v>0</v>
      </c>
      <c r="AN131" s="14">
        <f>F131*AF131</f>
        <v>0</v>
      </c>
      <c r="AO131" s="15" t="s">
        <v>1686</v>
      </c>
      <c r="AP131" s="15" t="s">
        <v>1728</v>
      </c>
      <c r="AQ131" s="8" t="s">
        <v>1769</v>
      </c>
      <c r="AS131" s="14">
        <f>AM131+AN131</f>
        <v>0</v>
      </c>
      <c r="AT131" s="14">
        <f>G131/(100-AU131)*100</f>
        <v>0</v>
      </c>
      <c r="AU131" s="14">
        <v>0</v>
      </c>
      <c r="AV131" s="14">
        <f>L131</f>
        <v>0.68</v>
      </c>
    </row>
    <row r="132" spans="1:48" ht="12.75">
      <c r="A132" s="99" t="s">
        <v>41</v>
      </c>
      <c r="B132" s="99" t="s">
        <v>406</v>
      </c>
      <c r="C132" s="99" t="s">
        <v>450</v>
      </c>
      <c r="D132" s="99" t="s">
        <v>885</v>
      </c>
      <c r="E132" s="99" t="s">
        <v>1643</v>
      </c>
      <c r="F132" s="100">
        <v>8.45</v>
      </c>
      <c r="G132" s="100">
        <v>0</v>
      </c>
      <c r="H132" s="100">
        <f>F132*AE132</f>
        <v>0</v>
      </c>
      <c r="I132" s="100">
        <f>J132-H132</f>
        <v>0</v>
      </c>
      <c r="J132" s="100">
        <f>F132*G132</f>
        <v>0</v>
      </c>
      <c r="K132" s="100">
        <v>0</v>
      </c>
      <c r="L132" s="100">
        <f>F132*K132</f>
        <v>0</v>
      </c>
      <c r="M132" s="101" t="s">
        <v>1667</v>
      </c>
      <c r="P132" s="14">
        <f>IF(AG132="5",J132,0)</f>
        <v>0</v>
      </c>
      <c r="R132" s="14">
        <f>IF(AG132="1",H132,0)</f>
        <v>0</v>
      </c>
      <c r="S132" s="14">
        <f>IF(AG132="1",I132,0)</f>
        <v>0</v>
      </c>
      <c r="T132" s="14">
        <f>IF(AG132="7",H132,0)</f>
        <v>0</v>
      </c>
      <c r="U132" s="14">
        <f>IF(AG132="7",I132,0)</f>
        <v>0</v>
      </c>
      <c r="V132" s="14">
        <f>IF(AG132="2",H132,0)</f>
        <v>0</v>
      </c>
      <c r="W132" s="14">
        <f>IF(AG132="2",I132,0)</f>
        <v>0</v>
      </c>
      <c r="X132" s="14">
        <f>IF(AG132="0",J132,0)</f>
        <v>0</v>
      </c>
      <c r="Y132" s="8" t="s">
        <v>406</v>
      </c>
      <c r="Z132" s="5">
        <f>IF(AD132=0,J132,0)</f>
        <v>0</v>
      </c>
      <c r="AA132" s="5">
        <f>IF(AD132=15,J132,0)</f>
        <v>0</v>
      </c>
      <c r="AB132" s="5">
        <f>IF(AD132=21,J132,0)</f>
        <v>0</v>
      </c>
      <c r="AD132" s="14">
        <v>15</v>
      </c>
      <c r="AE132" s="14">
        <f>G132*0</f>
        <v>0</v>
      </c>
      <c r="AF132" s="14">
        <f>G132*(1-0)</f>
        <v>0</v>
      </c>
      <c r="AG132" s="10" t="s">
        <v>7</v>
      </c>
      <c r="AM132" s="14">
        <f>F132*AE132</f>
        <v>0</v>
      </c>
      <c r="AN132" s="14">
        <f>F132*AF132</f>
        <v>0</v>
      </c>
      <c r="AO132" s="15" t="s">
        <v>1686</v>
      </c>
      <c r="AP132" s="15" t="s">
        <v>1728</v>
      </c>
      <c r="AQ132" s="8" t="s">
        <v>1769</v>
      </c>
      <c r="AS132" s="14">
        <f>AM132+AN132</f>
        <v>0</v>
      </c>
      <c r="AT132" s="14">
        <f>G132/(100-AU132)*100</f>
        <v>0</v>
      </c>
      <c r="AU132" s="14">
        <v>0</v>
      </c>
      <c r="AV132" s="14">
        <f>L132</f>
        <v>0</v>
      </c>
    </row>
    <row r="133" spans="1:37" ht="12.75">
      <c r="A133" s="93"/>
      <c r="B133" s="94" t="s">
        <v>406</v>
      </c>
      <c r="C133" s="94" t="s">
        <v>40</v>
      </c>
      <c r="D133" s="95" t="s">
        <v>886</v>
      </c>
      <c r="E133" s="96"/>
      <c r="F133" s="96"/>
      <c r="G133" s="96"/>
      <c r="H133" s="97">
        <f>SUM(H134:H164)</f>
        <v>0</v>
      </c>
      <c r="I133" s="97">
        <f>SUM(I134:I164)</f>
        <v>0</v>
      </c>
      <c r="J133" s="97">
        <f>H133+I133</f>
        <v>0</v>
      </c>
      <c r="K133" s="98"/>
      <c r="L133" s="97">
        <f>SUM(L134:L164)</f>
        <v>19.677378800000003</v>
      </c>
      <c r="M133" s="98"/>
      <c r="Y133" s="8" t="s">
        <v>406</v>
      </c>
      <c r="AI133" s="16">
        <f>SUM(Z134:Z164)</f>
        <v>0</v>
      </c>
      <c r="AJ133" s="16">
        <f>SUM(AA134:AA164)</f>
        <v>0</v>
      </c>
      <c r="AK133" s="16">
        <f>SUM(AB134:AB164)</f>
        <v>0</v>
      </c>
    </row>
    <row r="134" spans="1:48" ht="12.75">
      <c r="A134" s="99" t="s">
        <v>42</v>
      </c>
      <c r="B134" s="99" t="s">
        <v>406</v>
      </c>
      <c r="C134" s="99" t="s">
        <v>451</v>
      </c>
      <c r="D134" s="99" t="s">
        <v>887</v>
      </c>
      <c r="E134" s="99" t="s">
        <v>1640</v>
      </c>
      <c r="F134" s="100">
        <v>84.76</v>
      </c>
      <c r="G134" s="100">
        <v>0</v>
      </c>
      <c r="H134" s="100">
        <f>F134*AE134</f>
        <v>0</v>
      </c>
      <c r="I134" s="100">
        <f>J134-H134</f>
        <v>0</v>
      </c>
      <c r="J134" s="100">
        <f>F134*G134</f>
        <v>0</v>
      </c>
      <c r="K134" s="100">
        <v>0.15946</v>
      </c>
      <c r="L134" s="100">
        <f>F134*K134</f>
        <v>13.5158296</v>
      </c>
      <c r="M134" s="101" t="s">
        <v>1667</v>
      </c>
      <c r="P134" s="14">
        <f>IF(AG134="5",J134,0)</f>
        <v>0</v>
      </c>
      <c r="R134" s="14">
        <f>IF(AG134="1",H134,0)</f>
        <v>0</v>
      </c>
      <c r="S134" s="14">
        <f>IF(AG134="1",I134,0)</f>
        <v>0</v>
      </c>
      <c r="T134" s="14">
        <f>IF(AG134="7",H134,0)</f>
        <v>0</v>
      </c>
      <c r="U134" s="14">
        <f>IF(AG134="7",I134,0)</f>
        <v>0</v>
      </c>
      <c r="V134" s="14">
        <f>IF(AG134="2",H134,0)</f>
        <v>0</v>
      </c>
      <c r="W134" s="14">
        <f>IF(AG134="2",I134,0)</f>
        <v>0</v>
      </c>
      <c r="X134" s="14">
        <f>IF(AG134="0",J134,0)</f>
        <v>0</v>
      </c>
      <c r="Y134" s="8" t="s">
        <v>406</v>
      </c>
      <c r="Z134" s="5">
        <f>IF(AD134=0,J134,0)</f>
        <v>0</v>
      </c>
      <c r="AA134" s="5">
        <f>IF(AD134=15,J134,0)</f>
        <v>0</v>
      </c>
      <c r="AB134" s="5">
        <f>IF(AD134=21,J134,0)</f>
        <v>0</v>
      </c>
      <c r="AD134" s="14">
        <v>15</v>
      </c>
      <c r="AE134" s="14">
        <f>G134*0.679480580596774</f>
        <v>0</v>
      </c>
      <c r="AF134" s="14">
        <f>G134*(1-0.679480580596774)</f>
        <v>0</v>
      </c>
      <c r="AG134" s="10" t="s">
        <v>7</v>
      </c>
      <c r="AM134" s="14">
        <f>F134*AE134</f>
        <v>0</v>
      </c>
      <c r="AN134" s="14">
        <f>F134*AF134</f>
        <v>0</v>
      </c>
      <c r="AO134" s="15" t="s">
        <v>1687</v>
      </c>
      <c r="AP134" s="15" t="s">
        <v>1728</v>
      </c>
      <c r="AQ134" s="8" t="s">
        <v>1769</v>
      </c>
      <c r="AS134" s="14">
        <f>AM134+AN134</f>
        <v>0</v>
      </c>
      <c r="AT134" s="14">
        <f>G134/(100-AU134)*100</f>
        <v>0</v>
      </c>
      <c r="AU134" s="14">
        <v>0</v>
      </c>
      <c r="AV134" s="14">
        <f>L134</f>
        <v>13.5158296</v>
      </c>
    </row>
    <row r="135" spans="1:13" ht="12.75">
      <c r="A135" s="102"/>
      <c r="B135" s="102"/>
      <c r="C135" s="102"/>
      <c r="D135" s="103" t="s">
        <v>888</v>
      </c>
      <c r="E135" s="102"/>
      <c r="F135" s="104">
        <v>3.93</v>
      </c>
      <c r="G135" s="102"/>
      <c r="H135" s="102"/>
      <c r="I135" s="102"/>
      <c r="J135" s="102"/>
      <c r="K135" s="102"/>
      <c r="L135" s="102"/>
      <c r="M135" s="102"/>
    </row>
    <row r="136" spans="1:13" ht="12.75">
      <c r="A136" s="102"/>
      <c r="B136" s="102"/>
      <c r="C136" s="102"/>
      <c r="D136" s="103" t="s">
        <v>889</v>
      </c>
      <c r="E136" s="102"/>
      <c r="F136" s="104">
        <v>15.35</v>
      </c>
      <c r="G136" s="102"/>
      <c r="H136" s="102"/>
      <c r="I136" s="102"/>
      <c r="J136" s="102"/>
      <c r="K136" s="102"/>
      <c r="L136" s="102"/>
      <c r="M136" s="102"/>
    </row>
    <row r="137" spans="1:13" ht="12.75">
      <c r="A137" s="102"/>
      <c r="B137" s="102"/>
      <c r="C137" s="102"/>
      <c r="D137" s="103" t="s">
        <v>890</v>
      </c>
      <c r="E137" s="102"/>
      <c r="F137" s="104">
        <v>-3</v>
      </c>
      <c r="G137" s="102"/>
      <c r="H137" s="102"/>
      <c r="I137" s="102"/>
      <c r="J137" s="102"/>
      <c r="K137" s="102"/>
      <c r="L137" s="102"/>
      <c r="M137" s="102"/>
    </row>
    <row r="138" spans="1:13" ht="12.75">
      <c r="A138" s="102"/>
      <c r="B138" s="102"/>
      <c r="C138" s="102"/>
      <c r="D138" s="103" t="s">
        <v>891</v>
      </c>
      <c r="E138" s="102"/>
      <c r="F138" s="104">
        <v>5.71</v>
      </c>
      <c r="G138" s="102"/>
      <c r="H138" s="102"/>
      <c r="I138" s="102"/>
      <c r="J138" s="102"/>
      <c r="K138" s="102"/>
      <c r="L138" s="102"/>
      <c r="M138" s="102"/>
    </row>
    <row r="139" spans="1:13" ht="12.75">
      <c r="A139" s="102"/>
      <c r="B139" s="102"/>
      <c r="C139" s="102"/>
      <c r="D139" s="103" t="s">
        <v>867</v>
      </c>
      <c r="E139" s="102"/>
      <c r="F139" s="104">
        <v>-1.94</v>
      </c>
      <c r="G139" s="102"/>
      <c r="H139" s="102"/>
      <c r="I139" s="102"/>
      <c r="J139" s="102"/>
      <c r="K139" s="102"/>
      <c r="L139" s="102"/>
      <c r="M139" s="102"/>
    </row>
    <row r="140" spans="1:13" ht="12.75">
      <c r="A140" s="102"/>
      <c r="B140" s="102"/>
      <c r="C140" s="102"/>
      <c r="D140" s="103" t="s">
        <v>892</v>
      </c>
      <c r="E140" s="102"/>
      <c r="F140" s="104">
        <v>2.56</v>
      </c>
      <c r="G140" s="102"/>
      <c r="H140" s="102"/>
      <c r="I140" s="102"/>
      <c r="J140" s="102"/>
      <c r="K140" s="102"/>
      <c r="L140" s="102"/>
      <c r="M140" s="102"/>
    </row>
    <row r="141" spans="1:13" ht="12.75">
      <c r="A141" s="102"/>
      <c r="B141" s="102"/>
      <c r="C141" s="102"/>
      <c r="D141" s="103" t="s">
        <v>893</v>
      </c>
      <c r="E141" s="102"/>
      <c r="F141" s="104">
        <v>1.61</v>
      </c>
      <c r="G141" s="102"/>
      <c r="H141" s="102"/>
      <c r="I141" s="102"/>
      <c r="J141" s="102"/>
      <c r="K141" s="102"/>
      <c r="L141" s="102"/>
      <c r="M141" s="102"/>
    </row>
    <row r="142" spans="1:13" ht="12.75">
      <c r="A142" s="102"/>
      <c r="B142" s="102"/>
      <c r="C142" s="102"/>
      <c r="D142" s="103" t="s">
        <v>894</v>
      </c>
      <c r="E142" s="102"/>
      <c r="F142" s="104">
        <v>3.25</v>
      </c>
      <c r="G142" s="102"/>
      <c r="H142" s="102"/>
      <c r="I142" s="102"/>
      <c r="J142" s="102"/>
      <c r="K142" s="102"/>
      <c r="L142" s="102"/>
      <c r="M142" s="102"/>
    </row>
    <row r="143" spans="1:13" ht="12.75">
      <c r="A143" s="102"/>
      <c r="B143" s="102"/>
      <c r="C143" s="102"/>
      <c r="D143" s="103" t="s">
        <v>895</v>
      </c>
      <c r="E143" s="102"/>
      <c r="F143" s="104">
        <v>-1.44</v>
      </c>
      <c r="G143" s="102"/>
      <c r="H143" s="102"/>
      <c r="I143" s="102"/>
      <c r="J143" s="102"/>
      <c r="K143" s="102"/>
      <c r="L143" s="102"/>
      <c r="M143" s="102"/>
    </row>
    <row r="144" spans="1:13" ht="12.75">
      <c r="A144" s="102"/>
      <c r="B144" s="102"/>
      <c r="C144" s="102"/>
      <c r="D144" s="103" t="s">
        <v>896</v>
      </c>
      <c r="E144" s="102"/>
      <c r="F144" s="104">
        <v>26.58</v>
      </c>
      <c r="G144" s="102"/>
      <c r="H144" s="102"/>
      <c r="I144" s="102"/>
      <c r="J144" s="102"/>
      <c r="K144" s="102"/>
      <c r="L144" s="102"/>
      <c r="M144" s="102"/>
    </row>
    <row r="145" spans="1:13" ht="12.75">
      <c r="A145" s="102"/>
      <c r="B145" s="102"/>
      <c r="C145" s="102"/>
      <c r="D145" s="103" t="s">
        <v>897</v>
      </c>
      <c r="E145" s="102"/>
      <c r="F145" s="104">
        <v>11.7</v>
      </c>
      <c r="G145" s="102"/>
      <c r="H145" s="102"/>
      <c r="I145" s="102"/>
      <c r="J145" s="102"/>
      <c r="K145" s="102"/>
      <c r="L145" s="102"/>
      <c r="M145" s="102"/>
    </row>
    <row r="146" spans="1:13" ht="12.75">
      <c r="A146" s="102"/>
      <c r="B146" s="102"/>
      <c r="C146" s="102"/>
      <c r="D146" s="103" t="s">
        <v>898</v>
      </c>
      <c r="E146" s="102"/>
      <c r="F146" s="104">
        <v>-1.47</v>
      </c>
      <c r="G146" s="102"/>
      <c r="H146" s="102"/>
      <c r="I146" s="102"/>
      <c r="J146" s="102"/>
      <c r="K146" s="102"/>
      <c r="L146" s="102"/>
      <c r="M146" s="102"/>
    </row>
    <row r="147" spans="1:13" ht="12.75">
      <c r="A147" s="102"/>
      <c r="B147" s="102"/>
      <c r="C147" s="102"/>
      <c r="D147" s="103" t="s">
        <v>899</v>
      </c>
      <c r="E147" s="102"/>
      <c r="F147" s="104">
        <v>25.04</v>
      </c>
      <c r="G147" s="102"/>
      <c r="H147" s="102"/>
      <c r="I147" s="102"/>
      <c r="J147" s="102"/>
      <c r="K147" s="102"/>
      <c r="L147" s="102"/>
      <c r="M147" s="102"/>
    </row>
    <row r="148" spans="1:13" ht="12.75">
      <c r="A148" s="102"/>
      <c r="B148" s="102"/>
      <c r="C148" s="102"/>
      <c r="D148" s="103" t="s">
        <v>867</v>
      </c>
      <c r="E148" s="102"/>
      <c r="F148" s="104">
        <v>-1.94</v>
      </c>
      <c r="G148" s="102"/>
      <c r="H148" s="102"/>
      <c r="I148" s="102"/>
      <c r="J148" s="102"/>
      <c r="K148" s="102"/>
      <c r="L148" s="102"/>
      <c r="M148" s="102"/>
    </row>
    <row r="149" spans="1:13" ht="12.75">
      <c r="A149" s="102"/>
      <c r="B149" s="102"/>
      <c r="C149" s="102"/>
      <c r="D149" s="103" t="s">
        <v>868</v>
      </c>
      <c r="E149" s="102"/>
      <c r="F149" s="104">
        <v>-1.72</v>
      </c>
      <c r="G149" s="102"/>
      <c r="H149" s="102"/>
      <c r="I149" s="102"/>
      <c r="J149" s="102"/>
      <c r="K149" s="102"/>
      <c r="L149" s="102"/>
      <c r="M149" s="102"/>
    </row>
    <row r="150" spans="1:13" ht="12.75">
      <c r="A150" s="102"/>
      <c r="B150" s="102"/>
      <c r="C150" s="102"/>
      <c r="D150" s="103" t="s">
        <v>900</v>
      </c>
      <c r="E150" s="102"/>
      <c r="F150" s="104">
        <v>0</v>
      </c>
      <c r="G150" s="102"/>
      <c r="H150" s="102"/>
      <c r="I150" s="102"/>
      <c r="J150" s="102"/>
      <c r="K150" s="102"/>
      <c r="L150" s="102"/>
      <c r="M150" s="102"/>
    </row>
    <row r="151" spans="1:13" ht="12.75">
      <c r="A151" s="102"/>
      <c r="B151" s="102"/>
      <c r="C151" s="102"/>
      <c r="D151" s="103" t="s">
        <v>868</v>
      </c>
      <c r="E151" s="102"/>
      <c r="F151" s="104">
        <v>-1.72</v>
      </c>
      <c r="G151" s="102"/>
      <c r="H151" s="102"/>
      <c r="I151" s="102"/>
      <c r="J151" s="102"/>
      <c r="K151" s="102"/>
      <c r="L151" s="102"/>
      <c r="M151" s="102"/>
    </row>
    <row r="152" spans="1:13" ht="12.75">
      <c r="A152" s="102"/>
      <c r="B152" s="102"/>
      <c r="C152" s="102"/>
      <c r="D152" s="103" t="s">
        <v>901</v>
      </c>
      <c r="E152" s="102"/>
      <c r="F152" s="104">
        <v>2.26</v>
      </c>
      <c r="G152" s="102"/>
      <c r="H152" s="102"/>
      <c r="I152" s="102"/>
      <c r="J152" s="102"/>
      <c r="K152" s="102"/>
      <c r="L152" s="102"/>
      <c r="M152" s="102"/>
    </row>
    <row r="153" spans="1:48" ht="12.75">
      <c r="A153" s="99" t="s">
        <v>43</v>
      </c>
      <c r="B153" s="99" t="s">
        <v>406</v>
      </c>
      <c r="C153" s="99" t="s">
        <v>452</v>
      </c>
      <c r="D153" s="99" t="s">
        <v>902</v>
      </c>
      <c r="E153" s="99" t="s">
        <v>1640</v>
      </c>
      <c r="F153" s="100">
        <v>16.16</v>
      </c>
      <c r="G153" s="100">
        <v>0</v>
      </c>
      <c r="H153" s="100">
        <f>F153*AE153</f>
        <v>0</v>
      </c>
      <c r="I153" s="100">
        <f>J153-H153</f>
        <v>0</v>
      </c>
      <c r="J153" s="100">
        <f>F153*G153</f>
        <v>0</v>
      </c>
      <c r="K153" s="100">
        <v>0.33575</v>
      </c>
      <c r="L153" s="100">
        <f>F153*K153</f>
        <v>5.42572</v>
      </c>
      <c r="M153" s="101" t="s">
        <v>1667</v>
      </c>
      <c r="P153" s="14">
        <f>IF(AG153="5",J153,0)</f>
        <v>0</v>
      </c>
      <c r="R153" s="14">
        <f>IF(AG153="1",H153,0)</f>
        <v>0</v>
      </c>
      <c r="S153" s="14">
        <f>IF(AG153="1",I153,0)</f>
        <v>0</v>
      </c>
      <c r="T153" s="14">
        <f>IF(AG153="7",H153,0)</f>
        <v>0</v>
      </c>
      <c r="U153" s="14">
        <f>IF(AG153="7",I153,0)</f>
        <v>0</v>
      </c>
      <c r="V153" s="14">
        <f>IF(AG153="2",H153,0)</f>
        <v>0</v>
      </c>
      <c r="W153" s="14">
        <f>IF(AG153="2",I153,0)</f>
        <v>0</v>
      </c>
      <c r="X153" s="14">
        <f>IF(AG153="0",J153,0)</f>
        <v>0</v>
      </c>
      <c r="Y153" s="8" t="s">
        <v>406</v>
      </c>
      <c r="Z153" s="5">
        <f>IF(AD153=0,J153,0)</f>
        <v>0</v>
      </c>
      <c r="AA153" s="5">
        <f>IF(AD153=15,J153,0)</f>
        <v>0</v>
      </c>
      <c r="AB153" s="5">
        <f>IF(AD153=21,J153,0)</f>
        <v>0</v>
      </c>
      <c r="AD153" s="14">
        <v>15</v>
      </c>
      <c r="AE153" s="14">
        <f>G153*0.80975352112676</f>
        <v>0</v>
      </c>
      <c r="AF153" s="14">
        <f>G153*(1-0.80975352112676)</f>
        <v>0</v>
      </c>
      <c r="AG153" s="10" t="s">
        <v>7</v>
      </c>
      <c r="AM153" s="14">
        <f>F153*AE153</f>
        <v>0</v>
      </c>
      <c r="AN153" s="14">
        <f>F153*AF153</f>
        <v>0</v>
      </c>
      <c r="AO153" s="15" t="s">
        <v>1687</v>
      </c>
      <c r="AP153" s="15" t="s">
        <v>1728</v>
      </c>
      <c r="AQ153" s="8" t="s">
        <v>1769</v>
      </c>
      <c r="AS153" s="14">
        <f>AM153+AN153</f>
        <v>0</v>
      </c>
      <c r="AT153" s="14">
        <f>G153/(100-AU153)*100</f>
        <v>0</v>
      </c>
      <c r="AU153" s="14">
        <v>0</v>
      </c>
      <c r="AV153" s="14">
        <f>L153</f>
        <v>5.42572</v>
      </c>
    </row>
    <row r="154" spans="1:13" ht="12.75">
      <c r="A154" s="102"/>
      <c r="B154" s="102"/>
      <c r="C154" s="102"/>
      <c r="D154" s="103" t="s">
        <v>903</v>
      </c>
      <c r="E154" s="102"/>
      <c r="F154" s="104">
        <v>11.82</v>
      </c>
      <c r="G154" s="102"/>
      <c r="H154" s="102"/>
      <c r="I154" s="102"/>
      <c r="J154" s="102"/>
      <c r="K154" s="102"/>
      <c r="L154" s="102"/>
      <c r="M154" s="102"/>
    </row>
    <row r="155" spans="1:13" ht="12.75">
      <c r="A155" s="102"/>
      <c r="B155" s="102"/>
      <c r="C155" s="102"/>
      <c r="D155" s="103" t="s">
        <v>904</v>
      </c>
      <c r="E155" s="102"/>
      <c r="F155" s="104">
        <v>4.34</v>
      </c>
      <c r="G155" s="102"/>
      <c r="H155" s="102"/>
      <c r="I155" s="102"/>
      <c r="J155" s="102"/>
      <c r="K155" s="102"/>
      <c r="L155" s="102"/>
      <c r="M155" s="102"/>
    </row>
    <row r="156" spans="1:48" ht="12.75">
      <c r="A156" s="99" t="s">
        <v>44</v>
      </c>
      <c r="B156" s="99" t="s">
        <v>406</v>
      </c>
      <c r="C156" s="99" t="s">
        <v>453</v>
      </c>
      <c r="D156" s="99" t="s">
        <v>905</v>
      </c>
      <c r="E156" s="99" t="s">
        <v>1643</v>
      </c>
      <c r="F156" s="100">
        <v>34.55</v>
      </c>
      <c r="G156" s="100">
        <v>0</v>
      </c>
      <c r="H156" s="100">
        <f>F156*AE156</f>
        <v>0</v>
      </c>
      <c r="I156" s="100">
        <f>J156-H156</f>
        <v>0</v>
      </c>
      <c r="J156" s="100">
        <f>F156*G156</f>
        <v>0</v>
      </c>
      <c r="K156" s="100">
        <v>0.00102</v>
      </c>
      <c r="L156" s="100">
        <f>F156*K156</f>
        <v>0.035241</v>
      </c>
      <c r="M156" s="101" t="s">
        <v>1667</v>
      </c>
      <c r="P156" s="14">
        <f>IF(AG156="5",J156,0)</f>
        <v>0</v>
      </c>
      <c r="R156" s="14">
        <f>IF(AG156="1",H156,0)</f>
        <v>0</v>
      </c>
      <c r="S156" s="14">
        <f>IF(AG156="1",I156,0)</f>
        <v>0</v>
      </c>
      <c r="T156" s="14">
        <f>IF(AG156="7",H156,0)</f>
        <v>0</v>
      </c>
      <c r="U156" s="14">
        <f>IF(AG156="7",I156,0)</f>
        <v>0</v>
      </c>
      <c r="V156" s="14">
        <f>IF(AG156="2",H156,0)</f>
        <v>0</v>
      </c>
      <c r="W156" s="14">
        <f>IF(AG156="2",I156,0)</f>
        <v>0</v>
      </c>
      <c r="X156" s="14">
        <f>IF(AG156="0",J156,0)</f>
        <v>0</v>
      </c>
      <c r="Y156" s="8" t="s">
        <v>406</v>
      </c>
      <c r="Z156" s="5">
        <f>IF(AD156=0,J156,0)</f>
        <v>0</v>
      </c>
      <c r="AA156" s="5">
        <f>IF(AD156=15,J156,0)</f>
        <v>0</v>
      </c>
      <c r="AB156" s="5">
        <f>IF(AD156=21,J156,0)</f>
        <v>0</v>
      </c>
      <c r="AD156" s="14">
        <v>15</v>
      </c>
      <c r="AE156" s="14">
        <f>G156*0.142925170068027</f>
        <v>0</v>
      </c>
      <c r="AF156" s="14">
        <f>G156*(1-0.142925170068027)</f>
        <v>0</v>
      </c>
      <c r="AG156" s="10" t="s">
        <v>7</v>
      </c>
      <c r="AM156" s="14">
        <f>F156*AE156</f>
        <v>0</v>
      </c>
      <c r="AN156" s="14">
        <f>F156*AF156</f>
        <v>0</v>
      </c>
      <c r="AO156" s="15" t="s">
        <v>1687</v>
      </c>
      <c r="AP156" s="15" t="s">
        <v>1728</v>
      </c>
      <c r="AQ156" s="8" t="s">
        <v>1769</v>
      </c>
      <c r="AS156" s="14">
        <f>AM156+AN156</f>
        <v>0</v>
      </c>
      <c r="AT156" s="14">
        <f>G156/(100-AU156)*100</f>
        <v>0</v>
      </c>
      <c r="AU156" s="14">
        <v>0</v>
      </c>
      <c r="AV156" s="14">
        <f>L156</f>
        <v>0.035241</v>
      </c>
    </row>
    <row r="157" spans="1:13" ht="12.75">
      <c r="A157" s="102"/>
      <c r="B157" s="102"/>
      <c r="C157" s="102"/>
      <c r="D157" s="103" t="s">
        <v>906</v>
      </c>
      <c r="E157" s="102"/>
      <c r="F157" s="104">
        <v>14.25</v>
      </c>
      <c r="G157" s="102"/>
      <c r="H157" s="102"/>
      <c r="I157" s="102"/>
      <c r="J157" s="102"/>
      <c r="K157" s="102"/>
      <c r="L157" s="102"/>
      <c r="M157" s="102"/>
    </row>
    <row r="158" spans="1:13" ht="12.75">
      <c r="A158" s="102"/>
      <c r="B158" s="102"/>
      <c r="C158" s="102"/>
      <c r="D158" s="103" t="s">
        <v>907</v>
      </c>
      <c r="E158" s="102"/>
      <c r="F158" s="104">
        <v>20.3</v>
      </c>
      <c r="G158" s="102"/>
      <c r="H158" s="102"/>
      <c r="I158" s="102"/>
      <c r="J158" s="102"/>
      <c r="K158" s="102"/>
      <c r="L158" s="102"/>
      <c r="M158" s="102"/>
    </row>
    <row r="159" spans="1:48" ht="12.75">
      <c r="A159" s="99" t="s">
        <v>45</v>
      </c>
      <c r="B159" s="99" t="s">
        <v>406</v>
      </c>
      <c r="C159" s="99" t="s">
        <v>454</v>
      </c>
      <c r="D159" s="99" t="s">
        <v>908</v>
      </c>
      <c r="E159" s="99" t="s">
        <v>1640</v>
      </c>
      <c r="F159" s="100">
        <v>2.6</v>
      </c>
      <c r="G159" s="100">
        <v>0</v>
      </c>
      <c r="H159" s="100">
        <f>F159*AE159</f>
        <v>0</v>
      </c>
      <c r="I159" s="100">
        <f>J159-H159</f>
        <v>0</v>
      </c>
      <c r="J159" s="100">
        <f>F159*G159</f>
        <v>0</v>
      </c>
      <c r="K159" s="100">
        <v>0.10449</v>
      </c>
      <c r="L159" s="100">
        <f>F159*K159</f>
        <v>0.271674</v>
      </c>
      <c r="M159" s="101" t="s">
        <v>1667</v>
      </c>
      <c r="P159" s="14">
        <f>IF(AG159="5",J159,0)</f>
        <v>0</v>
      </c>
      <c r="R159" s="14">
        <f>IF(AG159="1",H159,0)</f>
        <v>0</v>
      </c>
      <c r="S159" s="14">
        <f>IF(AG159="1",I159,0)</f>
        <v>0</v>
      </c>
      <c r="T159" s="14">
        <f>IF(AG159="7",H159,0)</f>
        <v>0</v>
      </c>
      <c r="U159" s="14">
        <f>IF(AG159="7",I159,0)</f>
        <v>0</v>
      </c>
      <c r="V159" s="14">
        <f>IF(AG159="2",H159,0)</f>
        <v>0</v>
      </c>
      <c r="W159" s="14">
        <f>IF(AG159="2",I159,0)</f>
        <v>0</v>
      </c>
      <c r="X159" s="14">
        <f>IF(AG159="0",J159,0)</f>
        <v>0</v>
      </c>
      <c r="Y159" s="8" t="s">
        <v>406</v>
      </c>
      <c r="Z159" s="5">
        <f>IF(AD159=0,J159,0)</f>
        <v>0</v>
      </c>
      <c r="AA159" s="5">
        <f>IF(AD159=15,J159,0)</f>
        <v>0</v>
      </c>
      <c r="AB159" s="5">
        <f>IF(AD159=21,J159,0)</f>
        <v>0</v>
      </c>
      <c r="AD159" s="14">
        <v>15</v>
      </c>
      <c r="AE159" s="14">
        <f>G159*0.717303963194383</f>
        <v>0</v>
      </c>
      <c r="AF159" s="14">
        <f>G159*(1-0.717303963194383)</f>
        <v>0</v>
      </c>
      <c r="AG159" s="10" t="s">
        <v>7</v>
      </c>
      <c r="AM159" s="14">
        <f>F159*AE159</f>
        <v>0</v>
      </c>
      <c r="AN159" s="14">
        <f>F159*AF159</f>
        <v>0</v>
      </c>
      <c r="AO159" s="15" t="s">
        <v>1687</v>
      </c>
      <c r="AP159" s="15" t="s">
        <v>1728</v>
      </c>
      <c r="AQ159" s="8" t="s">
        <v>1769</v>
      </c>
      <c r="AS159" s="14">
        <f>AM159+AN159</f>
        <v>0</v>
      </c>
      <c r="AT159" s="14">
        <f>G159/(100-AU159)*100</f>
        <v>0</v>
      </c>
      <c r="AU159" s="14">
        <v>0</v>
      </c>
      <c r="AV159" s="14">
        <f>L159</f>
        <v>0.271674</v>
      </c>
    </row>
    <row r="160" spans="1:13" ht="12.75">
      <c r="A160" s="102"/>
      <c r="B160" s="102"/>
      <c r="C160" s="102"/>
      <c r="D160" s="103" t="s">
        <v>909</v>
      </c>
      <c r="E160" s="102"/>
      <c r="F160" s="104">
        <v>2.6</v>
      </c>
      <c r="G160" s="102"/>
      <c r="H160" s="102"/>
      <c r="I160" s="102"/>
      <c r="J160" s="102"/>
      <c r="K160" s="102"/>
      <c r="L160" s="102"/>
      <c r="M160" s="102"/>
    </row>
    <row r="161" spans="1:48" ht="12.75">
      <c r="A161" s="99" t="s">
        <v>46</v>
      </c>
      <c r="B161" s="99" t="s">
        <v>406</v>
      </c>
      <c r="C161" s="99" t="s">
        <v>455</v>
      </c>
      <c r="D161" s="99" t="s">
        <v>910</v>
      </c>
      <c r="E161" s="99" t="s">
        <v>1640</v>
      </c>
      <c r="F161" s="100">
        <v>6.86</v>
      </c>
      <c r="G161" s="100">
        <v>0</v>
      </c>
      <c r="H161" s="100">
        <f>F161*AE161</f>
        <v>0</v>
      </c>
      <c r="I161" s="100">
        <f>J161-H161</f>
        <v>0</v>
      </c>
      <c r="J161" s="100">
        <f>F161*G161</f>
        <v>0</v>
      </c>
      <c r="K161" s="100">
        <v>0.05251</v>
      </c>
      <c r="L161" s="100">
        <f>F161*K161</f>
        <v>0.3602186</v>
      </c>
      <c r="M161" s="101" t="s">
        <v>1667</v>
      </c>
      <c r="P161" s="14">
        <f>IF(AG161="5",J161,0)</f>
        <v>0</v>
      </c>
      <c r="R161" s="14">
        <f>IF(AG161="1",H161,0)</f>
        <v>0</v>
      </c>
      <c r="S161" s="14">
        <f>IF(AG161="1",I161,0)</f>
        <v>0</v>
      </c>
      <c r="T161" s="14">
        <f>IF(AG161="7",H161,0)</f>
        <v>0</v>
      </c>
      <c r="U161" s="14">
        <f>IF(AG161="7",I161,0)</f>
        <v>0</v>
      </c>
      <c r="V161" s="14">
        <f>IF(AG161="2",H161,0)</f>
        <v>0</v>
      </c>
      <c r="W161" s="14">
        <f>IF(AG161="2",I161,0)</f>
        <v>0</v>
      </c>
      <c r="X161" s="14">
        <f>IF(AG161="0",J161,0)</f>
        <v>0</v>
      </c>
      <c r="Y161" s="8" t="s">
        <v>406</v>
      </c>
      <c r="Z161" s="5">
        <f>IF(AD161=0,J161,0)</f>
        <v>0</v>
      </c>
      <c r="AA161" s="5">
        <f>IF(AD161=15,J161,0)</f>
        <v>0</v>
      </c>
      <c r="AB161" s="5">
        <f>IF(AD161=21,J161,0)</f>
        <v>0</v>
      </c>
      <c r="AD161" s="14">
        <v>15</v>
      </c>
      <c r="AE161" s="14">
        <f>G161*0.636824087605854</f>
        <v>0</v>
      </c>
      <c r="AF161" s="14">
        <f>G161*(1-0.636824087605854)</f>
        <v>0</v>
      </c>
      <c r="AG161" s="10" t="s">
        <v>7</v>
      </c>
      <c r="AM161" s="14">
        <f>F161*AE161</f>
        <v>0</v>
      </c>
      <c r="AN161" s="14">
        <f>F161*AF161</f>
        <v>0</v>
      </c>
      <c r="AO161" s="15" t="s">
        <v>1687</v>
      </c>
      <c r="AP161" s="15" t="s">
        <v>1728</v>
      </c>
      <c r="AQ161" s="8" t="s">
        <v>1769</v>
      </c>
      <c r="AS161" s="14">
        <f>AM161+AN161</f>
        <v>0</v>
      </c>
      <c r="AT161" s="14">
        <f>G161/(100-AU161)*100</f>
        <v>0</v>
      </c>
      <c r="AU161" s="14">
        <v>0</v>
      </c>
      <c r="AV161" s="14">
        <f>L161</f>
        <v>0.3602186</v>
      </c>
    </row>
    <row r="162" spans="1:13" ht="12.75">
      <c r="A162" s="102"/>
      <c r="B162" s="102"/>
      <c r="C162" s="102"/>
      <c r="D162" s="103" t="s">
        <v>911</v>
      </c>
      <c r="E162" s="102"/>
      <c r="F162" s="104">
        <v>2.23</v>
      </c>
      <c r="G162" s="102"/>
      <c r="H162" s="102"/>
      <c r="I162" s="102"/>
      <c r="J162" s="102"/>
      <c r="K162" s="102"/>
      <c r="L162" s="102"/>
      <c r="M162" s="102"/>
    </row>
    <row r="163" spans="1:13" ht="12.75">
      <c r="A163" s="102"/>
      <c r="B163" s="102"/>
      <c r="C163" s="102"/>
      <c r="D163" s="103" t="s">
        <v>912</v>
      </c>
      <c r="E163" s="102"/>
      <c r="F163" s="104">
        <v>4.63</v>
      </c>
      <c r="G163" s="102"/>
      <c r="H163" s="102"/>
      <c r="I163" s="102"/>
      <c r="J163" s="102"/>
      <c r="K163" s="102"/>
      <c r="L163" s="102"/>
      <c r="M163" s="102"/>
    </row>
    <row r="164" spans="1:48" ht="12.75">
      <c r="A164" s="99" t="s">
        <v>47</v>
      </c>
      <c r="B164" s="99" t="s">
        <v>406</v>
      </c>
      <c r="C164" s="99" t="s">
        <v>456</v>
      </c>
      <c r="D164" s="99" t="s">
        <v>913</v>
      </c>
      <c r="E164" s="99" t="s">
        <v>1643</v>
      </c>
      <c r="F164" s="100">
        <v>5.26</v>
      </c>
      <c r="G164" s="100">
        <v>0</v>
      </c>
      <c r="H164" s="100">
        <f>F164*AE164</f>
        <v>0</v>
      </c>
      <c r="I164" s="100">
        <f>J164-H164</f>
        <v>0</v>
      </c>
      <c r="J164" s="100">
        <f>F164*G164</f>
        <v>0</v>
      </c>
      <c r="K164" s="100">
        <v>0.01306</v>
      </c>
      <c r="L164" s="100">
        <f>F164*K164</f>
        <v>0.0686956</v>
      </c>
      <c r="M164" s="101" t="s">
        <v>1667</v>
      </c>
      <c r="P164" s="14">
        <f>IF(AG164="5",J164,0)</f>
        <v>0</v>
      </c>
      <c r="R164" s="14">
        <f>IF(AG164="1",H164,0)</f>
        <v>0</v>
      </c>
      <c r="S164" s="14">
        <f>IF(AG164="1",I164,0)</f>
        <v>0</v>
      </c>
      <c r="T164" s="14">
        <f>IF(AG164="7",H164,0)</f>
        <v>0</v>
      </c>
      <c r="U164" s="14">
        <f>IF(AG164="7",I164,0)</f>
        <v>0</v>
      </c>
      <c r="V164" s="14">
        <f>IF(AG164="2",H164,0)</f>
        <v>0</v>
      </c>
      <c r="W164" s="14">
        <f>IF(AG164="2",I164,0)</f>
        <v>0</v>
      </c>
      <c r="X164" s="14">
        <f>IF(AG164="0",J164,0)</f>
        <v>0</v>
      </c>
      <c r="Y164" s="8" t="s">
        <v>406</v>
      </c>
      <c r="Z164" s="5">
        <f>IF(AD164=0,J164,0)</f>
        <v>0</v>
      </c>
      <c r="AA164" s="5">
        <f>IF(AD164=15,J164,0)</f>
        <v>0</v>
      </c>
      <c r="AB164" s="5">
        <f>IF(AD164=21,J164,0)</f>
        <v>0</v>
      </c>
      <c r="AD164" s="14">
        <v>15</v>
      </c>
      <c r="AE164" s="14">
        <f>G164*0.170786026200873</f>
        <v>0</v>
      </c>
      <c r="AF164" s="14">
        <f>G164*(1-0.170786026200873)</f>
        <v>0</v>
      </c>
      <c r="AG164" s="10" t="s">
        <v>7</v>
      </c>
      <c r="AM164" s="14">
        <f>F164*AE164</f>
        <v>0</v>
      </c>
      <c r="AN164" s="14">
        <f>F164*AF164</f>
        <v>0</v>
      </c>
      <c r="AO164" s="15" t="s">
        <v>1687</v>
      </c>
      <c r="AP164" s="15" t="s">
        <v>1728</v>
      </c>
      <c r="AQ164" s="8" t="s">
        <v>1769</v>
      </c>
      <c r="AS164" s="14">
        <f>AM164+AN164</f>
        <v>0</v>
      </c>
      <c r="AT164" s="14">
        <f>G164/(100-AU164)*100</f>
        <v>0</v>
      </c>
      <c r="AU164" s="14">
        <v>0</v>
      </c>
      <c r="AV164" s="14">
        <f>L164</f>
        <v>0.0686956</v>
      </c>
    </row>
    <row r="165" spans="1:13" ht="12.75">
      <c r="A165" s="102"/>
      <c r="B165" s="102"/>
      <c r="C165" s="102"/>
      <c r="D165" s="103" t="s">
        <v>914</v>
      </c>
      <c r="E165" s="102"/>
      <c r="F165" s="104">
        <v>5.26</v>
      </c>
      <c r="G165" s="102"/>
      <c r="H165" s="102"/>
      <c r="I165" s="102"/>
      <c r="J165" s="102"/>
      <c r="K165" s="102"/>
      <c r="L165" s="102"/>
      <c r="M165" s="102"/>
    </row>
    <row r="166" spans="1:37" ht="12.75">
      <c r="A166" s="93"/>
      <c r="B166" s="94" t="s">
        <v>406</v>
      </c>
      <c r="C166" s="94" t="s">
        <v>47</v>
      </c>
      <c r="D166" s="95" t="s">
        <v>915</v>
      </c>
      <c r="E166" s="96"/>
      <c r="F166" s="96"/>
      <c r="G166" s="96"/>
      <c r="H166" s="97">
        <f>SUM(H167:H200)</f>
        <v>0</v>
      </c>
      <c r="I166" s="97">
        <f>SUM(I167:I200)</f>
        <v>0</v>
      </c>
      <c r="J166" s="97">
        <f>H166+I166</f>
        <v>0</v>
      </c>
      <c r="K166" s="98"/>
      <c r="L166" s="97">
        <f>SUM(L167:L200)</f>
        <v>20.7456015</v>
      </c>
      <c r="M166" s="98"/>
      <c r="Y166" s="8" t="s">
        <v>406</v>
      </c>
      <c r="AI166" s="16">
        <f>SUM(Z167:Z200)</f>
        <v>0</v>
      </c>
      <c r="AJ166" s="16">
        <f>SUM(AA167:AA200)</f>
        <v>0</v>
      </c>
      <c r="AK166" s="16">
        <f>SUM(AB167:AB200)</f>
        <v>0</v>
      </c>
    </row>
    <row r="167" spans="1:48" ht="12.75">
      <c r="A167" s="99" t="s">
        <v>48</v>
      </c>
      <c r="B167" s="99" t="s">
        <v>406</v>
      </c>
      <c r="C167" s="99" t="s">
        <v>457</v>
      </c>
      <c r="D167" s="99" t="s">
        <v>916</v>
      </c>
      <c r="E167" s="99" t="s">
        <v>1645</v>
      </c>
      <c r="F167" s="100">
        <v>1</v>
      </c>
      <c r="G167" s="100">
        <v>0</v>
      </c>
      <c r="H167" s="100">
        <f>F167*AE167</f>
        <v>0</v>
      </c>
      <c r="I167" s="100">
        <f>J167-H167</f>
        <v>0</v>
      </c>
      <c r="J167" s="100">
        <f>F167*G167</f>
        <v>0</v>
      </c>
      <c r="K167" s="100">
        <v>0</v>
      </c>
      <c r="L167" s="100">
        <f>F167*K167</f>
        <v>0</v>
      </c>
      <c r="M167" s="101" t="s">
        <v>1667</v>
      </c>
      <c r="P167" s="14">
        <f>IF(AG167="5",J167,0)</f>
        <v>0</v>
      </c>
      <c r="R167" s="14">
        <f>IF(AG167="1",H167,0)</f>
        <v>0</v>
      </c>
      <c r="S167" s="14">
        <f>IF(AG167="1",I167,0)</f>
        <v>0</v>
      </c>
      <c r="T167" s="14">
        <f>IF(AG167="7",H167,0)</f>
        <v>0</v>
      </c>
      <c r="U167" s="14">
        <f>IF(AG167="7",I167,0)</f>
        <v>0</v>
      </c>
      <c r="V167" s="14">
        <f>IF(AG167="2",H167,0)</f>
        <v>0</v>
      </c>
      <c r="W167" s="14">
        <f>IF(AG167="2",I167,0)</f>
        <v>0</v>
      </c>
      <c r="X167" s="14">
        <f>IF(AG167="0",J167,0)</f>
        <v>0</v>
      </c>
      <c r="Y167" s="8" t="s">
        <v>406</v>
      </c>
      <c r="Z167" s="5">
        <f>IF(AD167=0,J167,0)</f>
        <v>0</v>
      </c>
      <c r="AA167" s="5">
        <f>IF(AD167=15,J167,0)</f>
        <v>0</v>
      </c>
      <c r="AB167" s="5">
        <f>IF(AD167=21,J167,0)</f>
        <v>0</v>
      </c>
      <c r="AD167" s="14">
        <v>15</v>
      </c>
      <c r="AE167" s="14">
        <f>G167*0</f>
        <v>0</v>
      </c>
      <c r="AF167" s="14">
        <f>G167*(1-0)</f>
        <v>0</v>
      </c>
      <c r="AG167" s="10" t="s">
        <v>7</v>
      </c>
      <c r="AM167" s="14">
        <f>F167*AE167</f>
        <v>0</v>
      </c>
      <c r="AN167" s="14">
        <f>F167*AF167</f>
        <v>0</v>
      </c>
      <c r="AO167" s="15" t="s">
        <v>1688</v>
      </c>
      <c r="AP167" s="15" t="s">
        <v>1729</v>
      </c>
      <c r="AQ167" s="8" t="s">
        <v>1769</v>
      </c>
      <c r="AS167" s="14">
        <f>AM167+AN167</f>
        <v>0</v>
      </c>
      <c r="AT167" s="14">
        <f>G167/(100-AU167)*100</f>
        <v>0</v>
      </c>
      <c r="AU167" s="14">
        <v>0</v>
      </c>
      <c r="AV167" s="14">
        <f>L167</f>
        <v>0</v>
      </c>
    </row>
    <row r="168" spans="1:48" ht="12.75">
      <c r="A168" s="99" t="s">
        <v>49</v>
      </c>
      <c r="B168" s="99" t="s">
        <v>406</v>
      </c>
      <c r="C168" s="99" t="s">
        <v>458</v>
      </c>
      <c r="D168" s="99" t="s">
        <v>917</v>
      </c>
      <c r="E168" s="99" t="s">
        <v>1640</v>
      </c>
      <c r="F168" s="100">
        <v>87.82</v>
      </c>
      <c r="G168" s="100">
        <v>0</v>
      </c>
      <c r="H168" s="100">
        <f>F168*AE168</f>
        <v>0</v>
      </c>
      <c r="I168" s="100">
        <f>J168-H168</f>
        <v>0</v>
      </c>
      <c r="J168" s="100">
        <f>F168*G168</f>
        <v>0</v>
      </c>
      <c r="K168" s="100">
        <v>0</v>
      </c>
      <c r="L168" s="100">
        <f>F168*K168</f>
        <v>0</v>
      </c>
      <c r="M168" s="101" t="s">
        <v>1667</v>
      </c>
      <c r="P168" s="14">
        <f>IF(AG168="5",J168,0)</f>
        <v>0</v>
      </c>
      <c r="R168" s="14">
        <f>IF(AG168="1",H168,0)</f>
        <v>0</v>
      </c>
      <c r="S168" s="14">
        <f>IF(AG168="1",I168,0)</f>
        <v>0</v>
      </c>
      <c r="T168" s="14">
        <f>IF(AG168="7",H168,0)</f>
        <v>0</v>
      </c>
      <c r="U168" s="14">
        <f>IF(AG168="7",I168,0)</f>
        <v>0</v>
      </c>
      <c r="V168" s="14">
        <f>IF(AG168="2",H168,0)</f>
        <v>0</v>
      </c>
      <c r="W168" s="14">
        <f>IF(AG168="2",I168,0)</f>
        <v>0</v>
      </c>
      <c r="X168" s="14">
        <f>IF(AG168="0",J168,0)</f>
        <v>0</v>
      </c>
      <c r="Y168" s="8" t="s">
        <v>406</v>
      </c>
      <c r="Z168" s="5">
        <f>IF(AD168=0,J168,0)</f>
        <v>0</v>
      </c>
      <c r="AA168" s="5">
        <f>IF(AD168=15,J168,0)</f>
        <v>0</v>
      </c>
      <c r="AB168" s="5">
        <f>IF(AD168=21,J168,0)</f>
        <v>0</v>
      </c>
      <c r="AD168" s="14">
        <v>15</v>
      </c>
      <c r="AE168" s="14">
        <f>G168*0</f>
        <v>0</v>
      </c>
      <c r="AF168" s="14">
        <f>G168*(1-0)</f>
        <v>0</v>
      </c>
      <c r="AG168" s="10" t="s">
        <v>7</v>
      </c>
      <c r="AM168" s="14">
        <f>F168*AE168</f>
        <v>0</v>
      </c>
      <c r="AN168" s="14">
        <f>F168*AF168</f>
        <v>0</v>
      </c>
      <c r="AO168" s="15" t="s">
        <v>1688</v>
      </c>
      <c r="AP168" s="15" t="s">
        <v>1729</v>
      </c>
      <c r="AQ168" s="8" t="s">
        <v>1769</v>
      </c>
      <c r="AS168" s="14">
        <f>AM168+AN168</f>
        <v>0</v>
      </c>
      <c r="AT168" s="14">
        <f>G168/(100-AU168)*100</f>
        <v>0</v>
      </c>
      <c r="AU168" s="14">
        <v>0</v>
      </c>
      <c r="AV168" s="14">
        <f>L168</f>
        <v>0</v>
      </c>
    </row>
    <row r="169" spans="1:13" ht="12.75">
      <c r="A169" s="102"/>
      <c r="B169" s="102"/>
      <c r="C169" s="102"/>
      <c r="D169" s="103" t="s">
        <v>132</v>
      </c>
      <c r="E169" s="102"/>
      <c r="F169" s="104">
        <v>126</v>
      </c>
      <c r="G169" s="102"/>
      <c r="H169" s="102"/>
      <c r="I169" s="102"/>
      <c r="J169" s="102"/>
      <c r="K169" s="102"/>
      <c r="L169" s="102"/>
      <c r="M169" s="102"/>
    </row>
    <row r="170" spans="1:13" ht="12.75">
      <c r="A170" s="102"/>
      <c r="B170" s="102"/>
      <c r="C170" s="102"/>
      <c r="D170" s="103" t="s">
        <v>918</v>
      </c>
      <c r="E170" s="102"/>
      <c r="F170" s="104">
        <v>-38.18</v>
      </c>
      <c r="G170" s="102"/>
      <c r="H170" s="102"/>
      <c r="I170" s="102"/>
      <c r="J170" s="102"/>
      <c r="K170" s="102"/>
      <c r="L170" s="102"/>
      <c r="M170" s="102"/>
    </row>
    <row r="171" spans="1:48" ht="12.75">
      <c r="A171" s="99" t="s">
        <v>50</v>
      </c>
      <c r="B171" s="99" t="s">
        <v>406</v>
      </c>
      <c r="C171" s="99" t="s">
        <v>459</v>
      </c>
      <c r="D171" s="99" t="s">
        <v>919</v>
      </c>
      <c r="E171" s="99" t="s">
        <v>1639</v>
      </c>
      <c r="F171" s="100">
        <v>4.88</v>
      </c>
      <c r="G171" s="100">
        <v>0</v>
      </c>
      <c r="H171" s="100">
        <f>F171*AE171</f>
        <v>0</v>
      </c>
      <c r="I171" s="100">
        <f>J171-H171</f>
        <v>0</v>
      </c>
      <c r="J171" s="100">
        <f>F171*G171</f>
        <v>0</v>
      </c>
      <c r="K171" s="100">
        <v>2.52511</v>
      </c>
      <c r="L171" s="100">
        <f>F171*K171</f>
        <v>12.3225368</v>
      </c>
      <c r="M171" s="101" t="s">
        <v>1667</v>
      </c>
      <c r="P171" s="14">
        <f>IF(AG171="5",J171,0)</f>
        <v>0</v>
      </c>
      <c r="R171" s="14">
        <f>IF(AG171="1",H171,0)</f>
        <v>0</v>
      </c>
      <c r="S171" s="14">
        <f>IF(AG171="1",I171,0)</f>
        <v>0</v>
      </c>
      <c r="T171" s="14">
        <f>IF(AG171="7",H171,0)</f>
        <v>0</v>
      </c>
      <c r="U171" s="14">
        <f>IF(AG171="7",I171,0)</f>
        <v>0</v>
      </c>
      <c r="V171" s="14">
        <f>IF(AG171="2",H171,0)</f>
        <v>0</v>
      </c>
      <c r="W171" s="14">
        <f>IF(AG171="2",I171,0)</f>
        <v>0</v>
      </c>
      <c r="X171" s="14">
        <f>IF(AG171="0",J171,0)</f>
        <v>0</v>
      </c>
      <c r="Y171" s="8" t="s">
        <v>406</v>
      </c>
      <c r="Z171" s="5">
        <f>IF(AD171=0,J171,0)</f>
        <v>0</v>
      </c>
      <c r="AA171" s="5">
        <f>IF(AD171=15,J171,0)</f>
        <v>0</v>
      </c>
      <c r="AB171" s="5">
        <f>IF(AD171=21,J171,0)</f>
        <v>0</v>
      </c>
      <c r="AD171" s="14">
        <v>15</v>
      </c>
      <c r="AE171" s="14">
        <f>G171*0.828709677419355</f>
        <v>0</v>
      </c>
      <c r="AF171" s="14">
        <f>G171*(1-0.828709677419355)</f>
        <v>0</v>
      </c>
      <c r="AG171" s="10" t="s">
        <v>7</v>
      </c>
      <c r="AM171" s="14">
        <f>F171*AE171</f>
        <v>0</v>
      </c>
      <c r="AN171" s="14">
        <f>F171*AF171</f>
        <v>0</v>
      </c>
      <c r="AO171" s="15" t="s">
        <v>1688</v>
      </c>
      <c r="AP171" s="15" t="s">
        <v>1729</v>
      </c>
      <c r="AQ171" s="8" t="s">
        <v>1769</v>
      </c>
      <c r="AS171" s="14">
        <f>AM171+AN171</f>
        <v>0</v>
      </c>
      <c r="AT171" s="14">
        <f>G171/(100-AU171)*100</f>
        <v>0</v>
      </c>
      <c r="AU171" s="14">
        <v>0</v>
      </c>
      <c r="AV171" s="14">
        <f>L171</f>
        <v>12.3225368</v>
      </c>
    </row>
    <row r="172" spans="1:13" ht="12.75">
      <c r="A172" s="102"/>
      <c r="B172" s="102"/>
      <c r="C172" s="102"/>
      <c r="D172" s="103" t="s">
        <v>920</v>
      </c>
      <c r="E172" s="102"/>
      <c r="F172" s="104">
        <v>1.26</v>
      </c>
      <c r="G172" s="102"/>
      <c r="H172" s="102"/>
      <c r="I172" s="102"/>
      <c r="J172" s="102"/>
      <c r="K172" s="102"/>
      <c r="L172" s="102"/>
      <c r="M172" s="102"/>
    </row>
    <row r="173" spans="1:13" ht="12.75">
      <c r="A173" s="102"/>
      <c r="B173" s="102"/>
      <c r="C173" s="102"/>
      <c r="D173" s="103" t="s">
        <v>921</v>
      </c>
      <c r="E173" s="102"/>
      <c r="F173" s="104">
        <v>0.99</v>
      </c>
      <c r="G173" s="102"/>
      <c r="H173" s="102"/>
      <c r="I173" s="102"/>
      <c r="J173" s="102"/>
      <c r="K173" s="102"/>
      <c r="L173" s="102"/>
      <c r="M173" s="102"/>
    </row>
    <row r="174" spans="1:13" ht="12.75">
      <c r="A174" s="102"/>
      <c r="B174" s="102"/>
      <c r="C174" s="102"/>
      <c r="D174" s="103" t="s">
        <v>922</v>
      </c>
      <c r="E174" s="102"/>
      <c r="F174" s="104">
        <v>2.25</v>
      </c>
      <c r="G174" s="102"/>
      <c r="H174" s="102"/>
      <c r="I174" s="102"/>
      <c r="J174" s="102"/>
      <c r="K174" s="102"/>
      <c r="L174" s="102"/>
      <c r="M174" s="102"/>
    </row>
    <row r="175" spans="1:13" ht="12.75">
      <c r="A175" s="102"/>
      <c r="B175" s="102"/>
      <c r="C175" s="102"/>
      <c r="D175" s="103" t="s">
        <v>923</v>
      </c>
      <c r="E175" s="102"/>
      <c r="F175" s="104">
        <v>0.38</v>
      </c>
      <c r="G175" s="102"/>
      <c r="H175" s="102"/>
      <c r="I175" s="102"/>
      <c r="J175" s="102"/>
      <c r="K175" s="102"/>
      <c r="L175" s="102"/>
      <c r="M175" s="102"/>
    </row>
    <row r="176" spans="1:48" ht="12.75">
      <c r="A176" s="99" t="s">
        <v>51</v>
      </c>
      <c r="B176" s="99" t="s">
        <v>406</v>
      </c>
      <c r="C176" s="99" t="s">
        <v>460</v>
      </c>
      <c r="D176" s="99" t="s">
        <v>924</v>
      </c>
      <c r="E176" s="99" t="s">
        <v>1643</v>
      </c>
      <c r="F176" s="100">
        <v>61.12</v>
      </c>
      <c r="G176" s="100">
        <v>0</v>
      </c>
      <c r="H176" s="100">
        <f>F176*AE176</f>
        <v>0</v>
      </c>
      <c r="I176" s="100">
        <f>J176-H176</f>
        <v>0</v>
      </c>
      <c r="J176" s="100">
        <f>F176*G176</f>
        <v>0</v>
      </c>
      <c r="K176" s="100">
        <v>0.05242</v>
      </c>
      <c r="L176" s="100">
        <f>F176*K176</f>
        <v>3.2039104</v>
      </c>
      <c r="M176" s="101" t="s">
        <v>1667</v>
      </c>
      <c r="P176" s="14">
        <f>IF(AG176="5",J176,0)</f>
        <v>0</v>
      </c>
      <c r="R176" s="14">
        <f>IF(AG176="1",H176,0)</f>
        <v>0</v>
      </c>
      <c r="S176" s="14">
        <f>IF(AG176="1",I176,0)</f>
        <v>0</v>
      </c>
      <c r="T176" s="14">
        <f>IF(AG176="7",H176,0)</f>
        <v>0</v>
      </c>
      <c r="U176" s="14">
        <f>IF(AG176="7",I176,0)</f>
        <v>0</v>
      </c>
      <c r="V176" s="14">
        <f>IF(AG176="2",H176,0)</f>
        <v>0</v>
      </c>
      <c r="W176" s="14">
        <f>IF(AG176="2",I176,0)</f>
        <v>0</v>
      </c>
      <c r="X176" s="14">
        <f>IF(AG176="0",J176,0)</f>
        <v>0</v>
      </c>
      <c r="Y176" s="8" t="s">
        <v>406</v>
      </c>
      <c r="Z176" s="5">
        <f>IF(AD176=0,J176,0)</f>
        <v>0</v>
      </c>
      <c r="AA176" s="5">
        <f>IF(AD176=15,J176,0)</f>
        <v>0</v>
      </c>
      <c r="AB176" s="5">
        <f>IF(AD176=21,J176,0)</f>
        <v>0</v>
      </c>
      <c r="AD176" s="14">
        <v>15</v>
      </c>
      <c r="AE176" s="14">
        <f>G176*0.322771084337349</f>
        <v>0</v>
      </c>
      <c r="AF176" s="14">
        <f>G176*(1-0.322771084337349)</f>
        <v>0</v>
      </c>
      <c r="AG176" s="10" t="s">
        <v>7</v>
      </c>
      <c r="AM176" s="14">
        <f>F176*AE176</f>
        <v>0</v>
      </c>
      <c r="AN176" s="14">
        <f>F176*AF176</f>
        <v>0</v>
      </c>
      <c r="AO176" s="15" t="s">
        <v>1688</v>
      </c>
      <c r="AP176" s="15" t="s">
        <v>1729</v>
      </c>
      <c r="AQ176" s="8" t="s">
        <v>1769</v>
      </c>
      <c r="AS176" s="14">
        <f>AM176+AN176</f>
        <v>0</v>
      </c>
      <c r="AT176" s="14">
        <f>G176/(100-AU176)*100</f>
        <v>0</v>
      </c>
      <c r="AU176" s="14">
        <v>0</v>
      </c>
      <c r="AV176" s="14">
        <f>L176</f>
        <v>3.2039104</v>
      </c>
    </row>
    <row r="177" spans="1:13" ht="12.75">
      <c r="A177" s="102"/>
      <c r="B177" s="102"/>
      <c r="C177" s="102"/>
      <c r="D177" s="103" t="s">
        <v>925</v>
      </c>
      <c r="E177" s="102"/>
      <c r="F177" s="104">
        <v>21.01</v>
      </c>
      <c r="G177" s="102"/>
      <c r="H177" s="102"/>
      <c r="I177" s="102"/>
      <c r="J177" s="102"/>
      <c r="K177" s="102"/>
      <c r="L177" s="102"/>
      <c r="M177" s="102"/>
    </row>
    <row r="178" spans="1:13" ht="12.75">
      <c r="A178" s="102"/>
      <c r="B178" s="102"/>
      <c r="C178" s="102"/>
      <c r="D178" s="103" t="s">
        <v>926</v>
      </c>
      <c r="E178" s="102"/>
      <c r="F178" s="104">
        <v>4.54</v>
      </c>
      <c r="G178" s="102"/>
      <c r="H178" s="102"/>
      <c r="I178" s="102"/>
      <c r="J178" s="102"/>
      <c r="K178" s="102"/>
      <c r="L178" s="102"/>
      <c r="M178" s="102"/>
    </row>
    <row r="179" spans="1:13" ht="12.75">
      <c r="A179" s="102"/>
      <c r="B179" s="102"/>
      <c r="C179" s="102"/>
      <c r="D179" s="103" t="s">
        <v>927</v>
      </c>
      <c r="E179" s="102"/>
      <c r="F179" s="104">
        <v>25.55</v>
      </c>
      <c r="G179" s="102"/>
      <c r="H179" s="102"/>
      <c r="I179" s="102"/>
      <c r="J179" s="102"/>
      <c r="K179" s="102"/>
      <c r="L179" s="102"/>
      <c r="M179" s="102"/>
    </row>
    <row r="180" spans="1:13" ht="12.75">
      <c r="A180" s="102"/>
      <c r="B180" s="102"/>
      <c r="C180" s="102"/>
      <c r="D180" s="103" t="s">
        <v>928</v>
      </c>
      <c r="E180" s="102"/>
      <c r="F180" s="104">
        <v>10.02</v>
      </c>
      <c r="G180" s="102"/>
      <c r="H180" s="102"/>
      <c r="I180" s="102"/>
      <c r="J180" s="102"/>
      <c r="K180" s="102"/>
      <c r="L180" s="102"/>
      <c r="M180" s="102"/>
    </row>
    <row r="181" spans="1:48" ht="12.75">
      <c r="A181" s="99" t="s">
        <v>52</v>
      </c>
      <c r="B181" s="99" t="s">
        <v>406</v>
      </c>
      <c r="C181" s="99" t="s">
        <v>461</v>
      </c>
      <c r="D181" s="99" t="s">
        <v>929</v>
      </c>
      <c r="E181" s="99" t="s">
        <v>1643</v>
      </c>
      <c r="F181" s="100">
        <v>61.12</v>
      </c>
      <c r="G181" s="100">
        <v>0</v>
      </c>
      <c r="H181" s="100">
        <f>F181*AE181</f>
        <v>0</v>
      </c>
      <c r="I181" s="100">
        <f>J181-H181</f>
        <v>0</v>
      </c>
      <c r="J181" s="100">
        <f>F181*G181</f>
        <v>0</v>
      </c>
      <c r="K181" s="100">
        <v>0</v>
      </c>
      <c r="L181" s="100">
        <f>F181*K181</f>
        <v>0</v>
      </c>
      <c r="M181" s="101" t="s">
        <v>1667</v>
      </c>
      <c r="P181" s="14">
        <f>IF(AG181="5",J181,0)</f>
        <v>0</v>
      </c>
      <c r="R181" s="14">
        <f>IF(AG181="1",H181,0)</f>
        <v>0</v>
      </c>
      <c r="S181" s="14">
        <f>IF(AG181="1",I181,0)</f>
        <v>0</v>
      </c>
      <c r="T181" s="14">
        <f>IF(AG181="7",H181,0)</f>
        <v>0</v>
      </c>
      <c r="U181" s="14">
        <f>IF(AG181="7",I181,0)</f>
        <v>0</v>
      </c>
      <c r="V181" s="14">
        <f>IF(AG181="2",H181,0)</f>
        <v>0</v>
      </c>
      <c r="W181" s="14">
        <f>IF(AG181="2",I181,0)</f>
        <v>0</v>
      </c>
      <c r="X181" s="14">
        <f>IF(AG181="0",J181,0)</f>
        <v>0</v>
      </c>
      <c r="Y181" s="8" t="s">
        <v>406</v>
      </c>
      <c r="Z181" s="5">
        <f>IF(AD181=0,J181,0)</f>
        <v>0</v>
      </c>
      <c r="AA181" s="5">
        <f>IF(AD181=15,J181,0)</f>
        <v>0</v>
      </c>
      <c r="AB181" s="5">
        <f>IF(AD181=21,J181,0)</f>
        <v>0</v>
      </c>
      <c r="AD181" s="14">
        <v>15</v>
      </c>
      <c r="AE181" s="14">
        <f>G181*0</f>
        <v>0</v>
      </c>
      <c r="AF181" s="14">
        <f>G181*(1-0)</f>
        <v>0</v>
      </c>
      <c r="AG181" s="10" t="s">
        <v>7</v>
      </c>
      <c r="AM181" s="14">
        <f>F181*AE181</f>
        <v>0</v>
      </c>
      <c r="AN181" s="14">
        <f>F181*AF181</f>
        <v>0</v>
      </c>
      <c r="AO181" s="15" t="s">
        <v>1688</v>
      </c>
      <c r="AP181" s="15" t="s">
        <v>1729</v>
      </c>
      <c r="AQ181" s="8" t="s">
        <v>1769</v>
      </c>
      <c r="AS181" s="14">
        <f>AM181+AN181</f>
        <v>0</v>
      </c>
      <c r="AT181" s="14">
        <f>G181/(100-AU181)*100</f>
        <v>0</v>
      </c>
      <c r="AU181" s="14">
        <v>0</v>
      </c>
      <c r="AV181" s="14">
        <f>L181</f>
        <v>0</v>
      </c>
    </row>
    <row r="182" spans="1:48" ht="12.75">
      <c r="A182" s="99" t="s">
        <v>53</v>
      </c>
      <c r="B182" s="99" t="s">
        <v>406</v>
      </c>
      <c r="C182" s="99" t="s">
        <v>462</v>
      </c>
      <c r="D182" s="99" t="s">
        <v>930</v>
      </c>
      <c r="E182" s="99" t="s">
        <v>1640</v>
      </c>
      <c r="F182" s="100">
        <v>7.3</v>
      </c>
      <c r="G182" s="100">
        <v>0</v>
      </c>
      <c r="H182" s="100">
        <f>F182*AE182</f>
        <v>0</v>
      </c>
      <c r="I182" s="100">
        <f>J182-H182</f>
        <v>0</v>
      </c>
      <c r="J182" s="100">
        <f>F182*G182</f>
        <v>0</v>
      </c>
      <c r="K182" s="100">
        <v>0.00782</v>
      </c>
      <c r="L182" s="100">
        <f>F182*K182</f>
        <v>0.057086000000000005</v>
      </c>
      <c r="M182" s="101" t="s">
        <v>1667</v>
      </c>
      <c r="P182" s="14">
        <f>IF(AG182="5",J182,0)</f>
        <v>0</v>
      </c>
      <c r="R182" s="14">
        <f>IF(AG182="1",H182,0)</f>
        <v>0</v>
      </c>
      <c r="S182" s="14">
        <f>IF(AG182="1",I182,0)</f>
        <v>0</v>
      </c>
      <c r="T182" s="14">
        <f>IF(AG182="7",H182,0)</f>
        <v>0</v>
      </c>
      <c r="U182" s="14">
        <f>IF(AG182="7",I182,0)</f>
        <v>0</v>
      </c>
      <c r="V182" s="14">
        <f>IF(AG182="2",H182,0)</f>
        <v>0</v>
      </c>
      <c r="W182" s="14">
        <f>IF(AG182="2",I182,0)</f>
        <v>0</v>
      </c>
      <c r="X182" s="14">
        <f>IF(AG182="0",J182,0)</f>
        <v>0</v>
      </c>
      <c r="Y182" s="8" t="s">
        <v>406</v>
      </c>
      <c r="Z182" s="5">
        <f>IF(AD182=0,J182,0)</f>
        <v>0</v>
      </c>
      <c r="AA182" s="5">
        <f>IF(AD182=15,J182,0)</f>
        <v>0</v>
      </c>
      <c r="AB182" s="5">
        <f>IF(AD182=21,J182,0)</f>
        <v>0</v>
      </c>
      <c r="AD182" s="14">
        <v>15</v>
      </c>
      <c r="AE182" s="14">
        <f>G182*0.280518292682927</f>
        <v>0</v>
      </c>
      <c r="AF182" s="14">
        <f>G182*(1-0.280518292682927)</f>
        <v>0</v>
      </c>
      <c r="AG182" s="10" t="s">
        <v>7</v>
      </c>
      <c r="AM182" s="14">
        <f>F182*AE182</f>
        <v>0</v>
      </c>
      <c r="AN182" s="14">
        <f>F182*AF182</f>
        <v>0</v>
      </c>
      <c r="AO182" s="15" t="s">
        <v>1688</v>
      </c>
      <c r="AP182" s="15" t="s">
        <v>1729</v>
      </c>
      <c r="AQ182" s="8" t="s">
        <v>1769</v>
      </c>
      <c r="AS182" s="14">
        <f>AM182+AN182</f>
        <v>0</v>
      </c>
      <c r="AT182" s="14">
        <f>G182/(100-AU182)*100</f>
        <v>0</v>
      </c>
      <c r="AU182" s="14">
        <v>0</v>
      </c>
      <c r="AV182" s="14">
        <f>L182</f>
        <v>0.057086000000000005</v>
      </c>
    </row>
    <row r="183" spans="1:13" ht="12.75">
      <c r="A183" s="102"/>
      <c r="B183" s="102"/>
      <c r="C183" s="102"/>
      <c r="D183" s="103" t="s">
        <v>931</v>
      </c>
      <c r="E183" s="102"/>
      <c r="F183" s="104">
        <v>7.7</v>
      </c>
      <c r="G183" s="102"/>
      <c r="H183" s="102"/>
      <c r="I183" s="102"/>
      <c r="J183" s="102"/>
      <c r="K183" s="102"/>
      <c r="L183" s="102"/>
      <c r="M183" s="102"/>
    </row>
    <row r="184" spans="1:13" ht="12.75">
      <c r="A184" s="102"/>
      <c r="B184" s="102"/>
      <c r="C184" s="102"/>
      <c r="D184" s="103" t="s">
        <v>932</v>
      </c>
      <c r="E184" s="102"/>
      <c r="F184" s="104">
        <v>-0.4</v>
      </c>
      <c r="G184" s="102"/>
      <c r="H184" s="102"/>
      <c r="I184" s="102"/>
      <c r="J184" s="102"/>
      <c r="K184" s="102"/>
      <c r="L184" s="102"/>
      <c r="M184" s="102"/>
    </row>
    <row r="185" spans="1:48" ht="12.75">
      <c r="A185" s="99" t="s">
        <v>54</v>
      </c>
      <c r="B185" s="99" t="s">
        <v>406</v>
      </c>
      <c r="C185" s="99" t="s">
        <v>463</v>
      </c>
      <c r="D185" s="99" t="s">
        <v>933</v>
      </c>
      <c r="E185" s="99" t="s">
        <v>1640</v>
      </c>
      <c r="F185" s="100">
        <v>7.3</v>
      </c>
      <c r="G185" s="100">
        <v>0</v>
      </c>
      <c r="H185" s="100">
        <f>F185*AE185</f>
        <v>0</v>
      </c>
      <c r="I185" s="100">
        <f>J185-H185</f>
        <v>0</v>
      </c>
      <c r="J185" s="100">
        <f>F185*G185</f>
        <v>0</v>
      </c>
      <c r="K185" s="100">
        <v>0</v>
      </c>
      <c r="L185" s="100">
        <f>F185*K185</f>
        <v>0</v>
      </c>
      <c r="M185" s="101" t="s">
        <v>1667</v>
      </c>
      <c r="P185" s="14">
        <f>IF(AG185="5",J185,0)</f>
        <v>0</v>
      </c>
      <c r="R185" s="14">
        <f>IF(AG185="1",H185,0)</f>
        <v>0</v>
      </c>
      <c r="S185" s="14">
        <f>IF(AG185="1",I185,0)</f>
        <v>0</v>
      </c>
      <c r="T185" s="14">
        <f>IF(AG185="7",H185,0)</f>
        <v>0</v>
      </c>
      <c r="U185" s="14">
        <f>IF(AG185="7",I185,0)</f>
        <v>0</v>
      </c>
      <c r="V185" s="14">
        <f>IF(AG185="2",H185,0)</f>
        <v>0</v>
      </c>
      <c r="W185" s="14">
        <f>IF(AG185="2",I185,0)</f>
        <v>0</v>
      </c>
      <c r="X185" s="14">
        <f>IF(AG185="0",J185,0)</f>
        <v>0</v>
      </c>
      <c r="Y185" s="8" t="s">
        <v>406</v>
      </c>
      <c r="Z185" s="5">
        <f>IF(AD185=0,J185,0)</f>
        <v>0</v>
      </c>
      <c r="AA185" s="5">
        <f>IF(AD185=15,J185,0)</f>
        <v>0</v>
      </c>
      <c r="AB185" s="5">
        <f>IF(AD185=21,J185,0)</f>
        <v>0</v>
      </c>
      <c r="AD185" s="14">
        <v>15</v>
      </c>
      <c r="AE185" s="14">
        <f>G185*0</f>
        <v>0</v>
      </c>
      <c r="AF185" s="14">
        <f>G185*(1-0)</f>
        <v>0</v>
      </c>
      <c r="AG185" s="10" t="s">
        <v>7</v>
      </c>
      <c r="AM185" s="14">
        <f>F185*AE185</f>
        <v>0</v>
      </c>
      <c r="AN185" s="14">
        <f>F185*AF185</f>
        <v>0</v>
      </c>
      <c r="AO185" s="15" t="s">
        <v>1688</v>
      </c>
      <c r="AP185" s="15" t="s">
        <v>1729</v>
      </c>
      <c r="AQ185" s="8" t="s">
        <v>1769</v>
      </c>
      <c r="AS185" s="14">
        <f>AM185+AN185</f>
        <v>0</v>
      </c>
      <c r="AT185" s="14">
        <f>G185/(100-AU185)*100</f>
        <v>0</v>
      </c>
      <c r="AU185" s="14">
        <v>0</v>
      </c>
      <c r="AV185" s="14">
        <f>L185</f>
        <v>0</v>
      </c>
    </row>
    <row r="186" spans="1:48" ht="12.75">
      <c r="A186" s="99" t="s">
        <v>55</v>
      </c>
      <c r="B186" s="99" t="s">
        <v>406</v>
      </c>
      <c r="C186" s="99" t="s">
        <v>464</v>
      </c>
      <c r="D186" s="99" t="s">
        <v>934</v>
      </c>
      <c r="E186" s="99" t="s">
        <v>1642</v>
      </c>
      <c r="F186" s="100">
        <v>0.41</v>
      </c>
      <c r="G186" s="100">
        <v>0</v>
      </c>
      <c r="H186" s="100">
        <f>F186*AE186</f>
        <v>0</v>
      </c>
      <c r="I186" s="100">
        <f>J186-H186</f>
        <v>0</v>
      </c>
      <c r="J186" s="100">
        <f>F186*G186</f>
        <v>0</v>
      </c>
      <c r="K186" s="100">
        <v>1.01665</v>
      </c>
      <c r="L186" s="100">
        <f>F186*K186</f>
        <v>0.4168265</v>
      </c>
      <c r="M186" s="101" t="s">
        <v>1667</v>
      </c>
      <c r="P186" s="14">
        <f>IF(AG186="5",J186,0)</f>
        <v>0</v>
      </c>
      <c r="R186" s="14">
        <f>IF(AG186="1",H186,0)</f>
        <v>0</v>
      </c>
      <c r="S186" s="14">
        <f>IF(AG186="1",I186,0)</f>
        <v>0</v>
      </c>
      <c r="T186" s="14">
        <f>IF(AG186="7",H186,0)</f>
        <v>0</v>
      </c>
      <c r="U186" s="14">
        <f>IF(AG186="7",I186,0)</f>
        <v>0</v>
      </c>
      <c r="V186" s="14">
        <f>IF(AG186="2",H186,0)</f>
        <v>0</v>
      </c>
      <c r="W186" s="14">
        <f>IF(AG186="2",I186,0)</f>
        <v>0</v>
      </c>
      <c r="X186" s="14">
        <f>IF(AG186="0",J186,0)</f>
        <v>0</v>
      </c>
      <c r="Y186" s="8" t="s">
        <v>406</v>
      </c>
      <c r="Z186" s="5">
        <f>IF(AD186=0,J186,0)</f>
        <v>0</v>
      </c>
      <c r="AA186" s="5">
        <f>IF(AD186=15,J186,0)</f>
        <v>0</v>
      </c>
      <c r="AB186" s="5">
        <f>IF(AD186=21,J186,0)</f>
        <v>0</v>
      </c>
      <c r="AD186" s="14">
        <v>15</v>
      </c>
      <c r="AE186" s="14">
        <f>G186*0.6683097991479</f>
        <v>0</v>
      </c>
      <c r="AF186" s="14">
        <f>G186*(1-0.6683097991479)</f>
        <v>0</v>
      </c>
      <c r="AG186" s="10" t="s">
        <v>7</v>
      </c>
      <c r="AM186" s="14">
        <f>F186*AE186</f>
        <v>0</v>
      </c>
      <c r="AN186" s="14">
        <f>F186*AF186</f>
        <v>0</v>
      </c>
      <c r="AO186" s="15" t="s">
        <v>1688</v>
      </c>
      <c r="AP186" s="15" t="s">
        <v>1729</v>
      </c>
      <c r="AQ186" s="8" t="s">
        <v>1769</v>
      </c>
      <c r="AS186" s="14">
        <f>AM186+AN186</f>
        <v>0</v>
      </c>
      <c r="AT186" s="14">
        <f>G186/(100-AU186)*100</f>
        <v>0</v>
      </c>
      <c r="AU186" s="14">
        <v>0</v>
      </c>
      <c r="AV186" s="14">
        <f>L186</f>
        <v>0.4168265</v>
      </c>
    </row>
    <row r="187" spans="1:13" ht="12.75">
      <c r="A187" s="102"/>
      <c r="B187" s="102"/>
      <c r="C187" s="102"/>
      <c r="D187" s="103" t="s">
        <v>935</v>
      </c>
      <c r="E187" s="102"/>
      <c r="F187" s="104">
        <v>0.26</v>
      </c>
      <c r="G187" s="102"/>
      <c r="H187" s="102"/>
      <c r="I187" s="102"/>
      <c r="J187" s="102"/>
      <c r="K187" s="102"/>
      <c r="L187" s="102"/>
      <c r="M187" s="102"/>
    </row>
    <row r="188" spans="1:13" ht="12.75">
      <c r="A188" s="102"/>
      <c r="B188" s="102"/>
      <c r="C188" s="102"/>
      <c r="D188" s="103" t="s">
        <v>936</v>
      </c>
      <c r="E188" s="102"/>
      <c r="F188" s="104">
        <v>0.07</v>
      </c>
      <c r="G188" s="102"/>
      <c r="H188" s="102"/>
      <c r="I188" s="102"/>
      <c r="J188" s="102"/>
      <c r="K188" s="102"/>
      <c r="L188" s="102"/>
      <c r="M188" s="102"/>
    </row>
    <row r="189" spans="1:13" ht="12.75">
      <c r="A189" s="102"/>
      <c r="B189" s="102"/>
      <c r="C189" s="102"/>
      <c r="D189" s="103" t="s">
        <v>937</v>
      </c>
      <c r="E189" s="102"/>
      <c r="F189" s="104">
        <v>0.04</v>
      </c>
      <c r="G189" s="102"/>
      <c r="H189" s="102"/>
      <c r="I189" s="102"/>
      <c r="J189" s="102"/>
      <c r="K189" s="102"/>
      <c r="L189" s="102"/>
      <c r="M189" s="102"/>
    </row>
    <row r="190" spans="1:13" ht="12.75">
      <c r="A190" s="102"/>
      <c r="B190" s="102"/>
      <c r="C190" s="102"/>
      <c r="D190" s="103" t="s">
        <v>938</v>
      </c>
      <c r="E190" s="102"/>
      <c r="F190" s="104">
        <v>0.03</v>
      </c>
      <c r="G190" s="102"/>
      <c r="H190" s="102"/>
      <c r="I190" s="102"/>
      <c r="J190" s="102"/>
      <c r="K190" s="102"/>
      <c r="L190" s="102"/>
      <c r="M190" s="102"/>
    </row>
    <row r="191" spans="1:13" ht="12.75">
      <c r="A191" s="102"/>
      <c r="B191" s="102"/>
      <c r="C191" s="102"/>
      <c r="D191" s="103" t="s">
        <v>939</v>
      </c>
      <c r="E191" s="102"/>
      <c r="F191" s="104">
        <v>0.01</v>
      </c>
      <c r="G191" s="102"/>
      <c r="H191" s="102"/>
      <c r="I191" s="102"/>
      <c r="J191" s="102"/>
      <c r="K191" s="102"/>
      <c r="L191" s="102"/>
      <c r="M191" s="102"/>
    </row>
    <row r="192" spans="1:48" ht="12.75">
      <c r="A192" s="99" t="s">
        <v>56</v>
      </c>
      <c r="B192" s="99" t="s">
        <v>406</v>
      </c>
      <c r="C192" s="99" t="s">
        <v>465</v>
      </c>
      <c r="D192" s="99" t="s">
        <v>940</v>
      </c>
      <c r="E192" s="99" t="s">
        <v>1639</v>
      </c>
      <c r="F192" s="100">
        <v>1.42</v>
      </c>
      <c r="G192" s="100">
        <v>0</v>
      </c>
      <c r="H192" s="100">
        <f>F192*AE192</f>
        <v>0</v>
      </c>
      <c r="I192" s="100">
        <f>J192-H192</f>
        <v>0</v>
      </c>
      <c r="J192" s="100">
        <f>F192*G192</f>
        <v>0</v>
      </c>
      <c r="K192" s="100">
        <v>2.52514</v>
      </c>
      <c r="L192" s="100">
        <f>F192*K192</f>
        <v>3.5856988</v>
      </c>
      <c r="M192" s="101" t="s">
        <v>1667</v>
      </c>
      <c r="P192" s="14">
        <f>IF(AG192="5",J192,0)</f>
        <v>0</v>
      </c>
      <c r="R192" s="14">
        <f>IF(AG192="1",H192,0)</f>
        <v>0</v>
      </c>
      <c r="S192" s="14">
        <f>IF(AG192="1",I192,0)</f>
        <v>0</v>
      </c>
      <c r="T192" s="14">
        <f>IF(AG192="7",H192,0)</f>
        <v>0</v>
      </c>
      <c r="U192" s="14">
        <f>IF(AG192="7",I192,0)</f>
        <v>0</v>
      </c>
      <c r="V192" s="14">
        <f>IF(AG192="2",H192,0)</f>
        <v>0</v>
      </c>
      <c r="W192" s="14">
        <f>IF(AG192="2",I192,0)</f>
        <v>0</v>
      </c>
      <c r="X192" s="14">
        <f>IF(AG192="0",J192,0)</f>
        <v>0</v>
      </c>
      <c r="Y192" s="8" t="s">
        <v>406</v>
      </c>
      <c r="Z192" s="5">
        <f>IF(AD192=0,J192,0)</f>
        <v>0</v>
      </c>
      <c r="AA192" s="5">
        <f>IF(AD192=15,J192,0)</f>
        <v>0</v>
      </c>
      <c r="AB192" s="5">
        <f>IF(AD192=21,J192,0)</f>
        <v>0</v>
      </c>
      <c r="AD192" s="14">
        <v>15</v>
      </c>
      <c r="AE192" s="14">
        <f>G192*0.855556377079482</f>
        <v>0</v>
      </c>
      <c r="AF192" s="14">
        <f>G192*(1-0.855556377079482)</f>
        <v>0</v>
      </c>
      <c r="AG192" s="10" t="s">
        <v>7</v>
      </c>
      <c r="AM192" s="14">
        <f>F192*AE192</f>
        <v>0</v>
      </c>
      <c r="AN192" s="14">
        <f>F192*AF192</f>
        <v>0</v>
      </c>
      <c r="AO192" s="15" t="s">
        <v>1688</v>
      </c>
      <c r="AP192" s="15" t="s">
        <v>1729</v>
      </c>
      <c r="AQ192" s="8" t="s">
        <v>1769</v>
      </c>
      <c r="AS192" s="14">
        <f>AM192+AN192</f>
        <v>0</v>
      </c>
      <c r="AT192" s="14">
        <f>G192/(100-AU192)*100</f>
        <v>0</v>
      </c>
      <c r="AU192" s="14">
        <v>0</v>
      </c>
      <c r="AV192" s="14">
        <f>L192</f>
        <v>3.5856988</v>
      </c>
    </row>
    <row r="193" spans="1:13" ht="12.75">
      <c r="A193" s="102"/>
      <c r="B193" s="102"/>
      <c r="C193" s="102"/>
      <c r="D193" s="103" t="s">
        <v>941</v>
      </c>
      <c r="E193" s="102"/>
      <c r="F193" s="104">
        <v>0.59</v>
      </c>
      <c r="G193" s="102"/>
      <c r="H193" s="102"/>
      <c r="I193" s="102"/>
      <c r="J193" s="102"/>
      <c r="K193" s="102"/>
      <c r="L193" s="102"/>
      <c r="M193" s="102"/>
    </row>
    <row r="194" spans="1:13" ht="12.75">
      <c r="A194" s="102"/>
      <c r="B194" s="102"/>
      <c r="C194" s="102"/>
      <c r="D194" s="103" t="s">
        <v>942</v>
      </c>
      <c r="E194" s="102"/>
      <c r="F194" s="104">
        <v>0.79</v>
      </c>
      <c r="G194" s="102"/>
      <c r="H194" s="102"/>
      <c r="I194" s="102"/>
      <c r="J194" s="102"/>
      <c r="K194" s="102"/>
      <c r="L194" s="102"/>
      <c r="M194" s="102"/>
    </row>
    <row r="195" spans="1:13" ht="12.75">
      <c r="A195" s="102"/>
      <c r="B195" s="102"/>
      <c r="C195" s="102"/>
      <c r="D195" s="103" t="s">
        <v>943</v>
      </c>
      <c r="E195" s="102"/>
      <c r="F195" s="104">
        <v>-0.06</v>
      </c>
      <c r="G195" s="102"/>
      <c r="H195" s="102"/>
      <c r="I195" s="102"/>
      <c r="J195" s="102"/>
      <c r="K195" s="102"/>
      <c r="L195" s="102"/>
      <c r="M195" s="102"/>
    </row>
    <row r="196" spans="1:13" ht="12.75">
      <c r="A196" s="102"/>
      <c r="B196" s="102"/>
      <c r="C196" s="102"/>
      <c r="D196" s="103" t="s">
        <v>944</v>
      </c>
      <c r="E196" s="102"/>
      <c r="F196" s="104">
        <v>0.1</v>
      </c>
      <c r="G196" s="102"/>
      <c r="H196" s="102"/>
      <c r="I196" s="102"/>
      <c r="J196" s="102"/>
      <c r="K196" s="102"/>
      <c r="L196" s="102"/>
      <c r="M196" s="102"/>
    </row>
    <row r="197" spans="1:48" ht="12.75">
      <c r="A197" s="99" t="s">
        <v>57</v>
      </c>
      <c r="B197" s="99" t="s">
        <v>406</v>
      </c>
      <c r="C197" s="99" t="s">
        <v>466</v>
      </c>
      <c r="D197" s="99" t="s">
        <v>945</v>
      </c>
      <c r="E197" s="99" t="s">
        <v>1640</v>
      </c>
      <c r="F197" s="100">
        <v>67.2</v>
      </c>
      <c r="G197" s="100">
        <v>0</v>
      </c>
      <c r="H197" s="100">
        <f>F197*AE197</f>
        <v>0</v>
      </c>
      <c r="I197" s="100">
        <f>J197-H197</f>
        <v>0</v>
      </c>
      <c r="J197" s="100">
        <f>F197*G197</f>
        <v>0</v>
      </c>
      <c r="K197" s="100">
        <v>0.01369</v>
      </c>
      <c r="L197" s="100">
        <f>F197*K197</f>
        <v>0.9199680000000001</v>
      </c>
      <c r="M197" s="101" t="s">
        <v>1667</v>
      </c>
      <c r="P197" s="14">
        <f>IF(AG197="5",J197,0)</f>
        <v>0</v>
      </c>
      <c r="R197" s="14">
        <f>IF(AG197="1",H197,0)</f>
        <v>0</v>
      </c>
      <c r="S197" s="14">
        <f>IF(AG197="1",I197,0)</f>
        <v>0</v>
      </c>
      <c r="T197" s="14">
        <f>IF(AG197="7",H197,0)</f>
        <v>0</v>
      </c>
      <c r="U197" s="14">
        <f>IF(AG197="7",I197,0)</f>
        <v>0</v>
      </c>
      <c r="V197" s="14">
        <f>IF(AG197="2",H197,0)</f>
        <v>0</v>
      </c>
      <c r="W197" s="14">
        <f>IF(AG197="2",I197,0)</f>
        <v>0</v>
      </c>
      <c r="X197" s="14">
        <f>IF(AG197="0",J197,0)</f>
        <v>0</v>
      </c>
      <c r="Y197" s="8" t="s">
        <v>406</v>
      </c>
      <c r="Z197" s="5">
        <f>IF(AD197=0,J197,0)</f>
        <v>0</v>
      </c>
      <c r="AA197" s="5">
        <f>IF(AD197=15,J197,0)</f>
        <v>0</v>
      </c>
      <c r="AB197" s="5">
        <f>IF(AD197=21,J197,0)</f>
        <v>0</v>
      </c>
      <c r="AD197" s="14">
        <v>15</v>
      </c>
      <c r="AE197" s="14">
        <f>G197*0.34658155209589</f>
        <v>0</v>
      </c>
      <c r="AF197" s="14">
        <f>G197*(1-0.34658155209589)</f>
        <v>0</v>
      </c>
      <c r="AG197" s="10" t="s">
        <v>7</v>
      </c>
      <c r="AM197" s="14">
        <f>F197*AE197</f>
        <v>0</v>
      </c>
      <c r="AN197" s="14">
        <f>F197*AF197</f>
        <v>0</v>
      </c>
      <c r="AO197" s="15" t="s">
        <v>1688</v>
      </c>
      <c r="AP197" s="15" t="s">
        <v>1729</v>
      </c>
      <c r="AQ197" s="8" t="s">
        <v>1769</v>
      </c>
      <c r="AS197" s="14">
        <f>AM197+AN197</f>
        <v>0</v>
      </c>
      <c r="AT197" s="14">
        <f>G197/(100-AU197)*100</f>
        <v>0</v>
      </c>
      <c r="AU197" s="14">
        <v>0</v>
      </c>
      <c r="AV197" s="14">
        <f>L197</f>
        <v>0.9199680000000001</v>
      </c>
    </row>
    <row r="198" spans="1:13" ht="12.75">
      <c r="A198" s="102"/>
      <c r="B198" s="102"/>
      <c r="C198" s="102"/>
      <c r="D198" s="103" t="s">
        <v>946</v>
      </c>
      <c r="E198" s="102"/>
      <c r="F198" s="104">
        <v>78.2</v>
      </c>
      <c r="G198" s="102"/>
      <c r="H198" s="102"/>
      <c r="I198" s="102"/>
      <c r="J198" s="102"/>
      <c r="K198" s="102"/>
      <c r="L198" s="102"/>
      <c r="M198" s="102"/>
    </row>
    <row r="199" spans="1:13" ht="12.75">
      <c r="A199" s="102"/>
      <c r="B199" s="102"/>
      <c r="C199" s="102"/>
      <c r="D199" s="103" t="s">
        <v>947</v>
      </c>
      <c r="E199" s="102"/>
      <c r="F199" s="104">
        <v>-11</v>
      </c>
      <c r="G199" s="102"/>
      <c r="H199" s="102"/>
      <c r="I199" s="102"/>
      <c r="J199" s="102"/>
      <c r="K199" s="102"/>
      <c r="L199" s="102"/>
      <c r="M199" s="102"/>
    </row>
    <row r="200" spans="1:48" ht="12.75">
      <c r="A200" s="99" t="s">
        <v>58</v>
      </c>
      <c r="B200" s="99" t="s">
        <v>406</v>
      </c>
      <c r="C200" s="99" t="s">
        <v>467</v>
      </c>
      <c r="D200" s="99" t="s">
        <v>948</v>
      </c>
      <c r="E200" s="99" t="s">
        <v>1640</v>
      </c>
      <c r="F200" s="100">
        <v>17.5</v>
      </c>
      <c r="G200" s="100">
        <v>0</v>
      </c>
      <c r="H200" s="100">
        <f>F200*AE200</f>
        <v>0</v>
      </c>
      <c r="I200" s="100">
        <f>J200-H200</f>
        <v>0</v>
      </c>
      <c r="J200" s="100">
        <f>F200*G200</f>
        <v>0</v>
      </c>
      <c r="K200" s="100">
        <v>0.01369</v>
      </c>
      <c r="L200" s="100">
        <f>F200*K200</f>
        <v>0.239575</v>
      </c>
      <c r="M200" s="101" t="s">
        <v>1667</v>
      </c>
      <c r="P200" s="14">
        <f>IF(AG200="5",J200,0)</f>
        <v>0</v>
      </c>
      <c r="R200" s="14">
        <f>IF(AG200="1",H200,0)</f>
        <v>0</v>
      </c>
      <c r="S200" s="14">
        <f>IF(AG200="1",I200,0)</f>
        <v>0</v>
      </c>
      <c r="T200" s="14">
        <f>IF(AG200="7",H200,0)</f>
        <v>0</v>
      </c>
      <c r="U200" s="14">
        <f>IF(AG200="7",I200,0)</f>
        <v>0</v>
      </c>
      <c r="V200" s="14">
        <f>IF(AG200="2",H200,0)</f>
        <v>0</v>
      </c>
      <c r="W200" s="14">
        <f>IF(AG200="2",I200,0)</f>
        <v>0</v>
      </c>
      <c r="X200" s="14">
        <f>IF(AG200="0",J200,0)</f>
        <v>0</v>
      </c>
      <c r="Y200" s="8" t="s">
        <v>406</v>
      </c>
      <c r="Z200" s="5">
        <f>IF(AD200=0,J200,0)</f>
        <v>0</v>
      </c>
      <c r="AA200" s="5">
        <f>IF(AD200=15,J200,0)</f>
        <v>0</v>
      </c>
      <c r="AB200" s="5">
        <f>IF(AD200=21,J200,0)</f>
        <v>0</v>
      </c>
      <c r="AD200" s="14">
        <v>15</v>
      </c>
      <c r="AE200" s="14">
        <f>G200*0.386182038563978</f>
        <v>0</v>
      </c>
      <c r="AF200" s="14">
        <f>G200*(1-0.386182038563978)</f>
        <v>0</v>
      </c>
      <c r="AG200" s="10" t="s">
        <v>7</v>
      </c>
      <c r="AM200" s="14">
        <f>F200*AE200</f>
        <v>0</v>
      </c>
      <c r="AN200" s="14">
        <f>F200*AF200</f>
        <v>0</v>
      </c>
      <c r="AO200" s="15" t="s">
        <v>1688</v>
      </c>
      <c r="AP200" s="15" t="s">
        <v>1729</v>
      </c>
      <c r="AQ200" s="8" t="s">
        <v>1769</v>
      </c>
      <c r="AS200" s="14">
        <f>AM200+AN200</f>
        <v>0</v>
      </c>
      <c r="AT200" s="14">
        <f>G200/(100-AU200)*100</f>
        <v>0</v>
      </c>
      <c r="AU200" s="14">
        <v>0</v>
      </c>
      <c r="AV200" s="14">
        <f>L200</f>
        <v>0.239575</v>
      </c>
    </row>
    <row r="201" spans="1:13" ht="12.75">
      <c r="A201" s="102"/>
      <c r="B201" s="102"/>
      <c r="C201" s="102"/>
      <c r="D201" s="103" t="s">
        <v>949</v>
      </c>
      <c r="E201" s="102"/>
      <c r="F201" s="104">
        <v>11</v>
      </c>
      <c r="G201" s="102"/>
      <c r="H201" s="102"/>
      <c r="I201" s="102"/>
      <c r="J201" s="102"/>
      <c r="K201" s="102"/>
      <c r="L201" s="102"/>
      <c r="M201" s="102"/>
    </row>
    <row r="202" spans="1:13" ht="12.75">
      <c r="A202" s="102"/>
      <c r="B202" s="102"/>
      <c r="C202" s="102"/>
      <c r="D202" s="103" t="s">
        <v>950</v>
      </c>
      <c r="E202" s="102"/>
      <c r="F202" s="104">
        <v>6.5</v>
      </c>
      <c r="G202" s="102"/>
      <c r="H202" s="102"/>
      <c r="I202" s="102"/>
      <c r="J202" s="102"/>
      <c r="K202" s="102"/>
      <c r="L202" s="102"/>
      <c r="M202" s="102"/>
    </row>
    <row r="203" spans="1:37" ht="12.75">
      <c r="A203" s="93"/>
      <c r="B203" s="94" t="s">
        <v>406</v>
      </c>
      <c r="C203" s="94" t="s">
        <v>49</v>
      </c>
      <c r="D203" s="95" t="s">
        <v>951</v>
      </c>
      <c r="E203" s="96"/>
      <c r="F203" s="96"/>
      <c r="G203" s="96"/>
      <c r="H203" s="97">
        <f>SUM(H204:H206)</f>
        <v>0</v>
      </c>
      <c r="I203" s="97">
        <f>SUM(I204:I206)</f>
        <v>0</v>
      </c>
      <c r="J203" s="97">
        <f>H203+I203</f>
        <v>0</v>
      </c>
      <c r="K203" s="98"/>
      <c r="L203" s="97">
        <f>SUM(L204:L206)</f>
        <v>0</v>
      </c>
      <c r="M203" s="98"/>
      <c r="Y203" s="8" t="s">
        <v>406</v>
      </c>
      <c r="AI203" s="16">
        <f>SUM(Z204:Z206)</f>
        <v>0</v>
      </c>
      <c r="AJ203" s="16">
        <f>SUM(AA204:AA206)</f>
        <v>0</v>
      </c>
      <c r="AK203" s="16">
        <f>SUM(AB204:AB206)</f>
        <v>0</v>
      </c>
    </row>
    <row r="204" spans="1:48" ht="12.75">
      <c r="A204" s="99" t="s">
        <v>59</v>
      </c>
      <c r="B204" s="99" t="s">
        <v>406</v>
      </c>
      <c r="C204" s="99" t="s">
        <v>468</v>
      </c>
      <c r="D204" s="99" t="s">
        <v>952</v>
      </c>
      <c r="E204" s="99" t="s">
        <v>1640</v>
      </c>
      <c r="F204" s="100">
        <v>5.32</v>
      </c>
      <c r="G204" s="100">
        <v>0</v>
      </c>
      <c r="H204" s="100">
        <f>F204*AE204</f>
        <v>0</v>
      </c>
      <c r="I204" s="100">
        <f>J204-H204</f>
        <v>0</v>
      </c>
      <c r="J204" s="100">
        <f>F204*G204</f>
        <v>0</v>
      </c>
      <c r="K204" s="100">
        <v>0</v>
      </c>
      <c r="L204" s="100">
        <f>F204*K204</f>
        <v>0</v>
      </c>
      <c r="M204" s="101" t="s">
        <v>1667</v>
      </c>
      <c r="P204" s="14">
        <f>IF(AG204="5",J204,0)</f>
        <v>0</v>
      </c>
      <c r="R204" s="14">
        <f>IF(AG204="1",H204,0)</f>
        <v>0</v>
      </c>
      <c r="S204" s="14">
        <f>IF(AG204="1",I204,0)</f>
        <v>0</v>
      </c>
      <c r="T204" s="14">
        <f>IF(AG204="7",H204,0)</f>
        <v>0</v>
      </c>
      <c r="U204" s="14">
        <f>IF(AG204="7",I204,0)</f>
        <v>0</v>
      </c>
      <c r="V204" s="14">
        <f>IF(AG204="2",H204,0)</f>
        <v>0</v>
      </c>
      <c r="W204" s="14">
        <f>IF(AG204="2",I204,0)</f>
        <v>0</v>
      </c>
      <c r="X204" s="14">
        <f>IF(AG204="0",J204,0)</f>
        <v>0</v>
      </c>
      <c r="Y204" s="8" t="s">
        <v>406</v>
      </c>
      <c r="Z204" s="5">
        <f>IF(AD204=0,J204,0)</f>
        <v>0</v>
      </c>
      <c r="AA204" s="5">
        <f>IF(AD204=15,J204,0)</f>
        <v>0</v>
      </c>
      <c r="AB204" s="5">
        <f>IF(AD204=21,J204,0)</f>
        <v>0</v>
      </c>
      <c r="AD204" s="14">
        <v>15</v>
      </c>
      <c r="AE204" s="14">
        <f>G204*0</f>
        <v>0</v>
      </c>
      <c r="AF204" s="14">
        <f>G204*(1-0)</f>
        <v>0</v>
      </c>
      <c r="AG204" s="10" t="s">
        <v>7</v>
      </c>
      <c r="AM204" s="14">
        <f>F204*AE204</f>
        <v>0</v>
      </c>
      <c r="AN204" s="14">
        <f>F204*AF204</f>
        <v>0</v>
      </c>
      <c r="AO204" s="15" t="s">
        <v>1689</v>
      </c>
      <c r="AP204" s="15" t="s">
        <v>1729</v>
      </c>
      <c r="AQ204" s="8" t="s">
        <v>1769</v>
      </c>
      <c r="AS204" s="14">
        <f>AM204+AN204</f>
        <v>0</v>
      </c>
      <c r="AT204" s="14">
        <f>G204/(100-AU204)*100</f>
        <v>0</v>
      </c>
      <c r="AU204" s="14">
        <v>0</v>
      </c>
      <c r="AV204" s="14">
        <f>L204</f>
        <v>0</v>
      </c>
    </row>
    <row r="205" spans="1:13" ht="12.75">
      <c r="A205" s="102"/>
      <c r="B205" s="102"/>
      <c r="C205" s="102"/>
      <c r="D205" s="103" t="s">
        <v>953</v>
      </c>
      <c r="E205" s="102"/>
      <c r="F205" s="104">
        <v>5.32</v>
      </c>
      <c r="G205" s="102"/>
      <c r="H205" s="102"/>
      <c r="I205" s="102"/>
      <c r="J205" s="102"/>
      <c r="K205" s="102"/>
      <c r="L205" s="102"/>
      <c r="M205" s="102"/>
    </row>
    <row r="206" spans="1:48" ht="12.75">
      <c r="A206" s="99" t="s">
        <v>60</v>
      </c>
      <c r="B206" s="99" t="s">
        <v>406</v>
      </c>
      <c r="C206" s="99" t="s">
        <v>469</v>
      </c>
      <c r="D206" s="99" t="s">
        <v>954</v>
      </c>
      <c r="E206" s="99" t="s">
        <v>1645</v>
      </c>
      <c r="F206" s="100">
        <v>1</v>
      </c>
      <c r="G206" s="100">
        <v>0</v>
      </c>
      <c r="H206" s="100">
        <f>F206*AE206</f>
        <v>0</v>
      </c>
      <c r="I206" s="100">
        <f>J206-H206</f>
        <v>0</v>
      </c>
      <c r="J206" s="100">
        <f>F206*G206</f>
        <v>0</v>
      </c>
      <c r="K206" s="100">
        <v>0</v>
      </c>
      <c r="L206" s="100">
        <f>F206*K206</f>
        <v>0</v>
      </c>
      <c r="M206" s="101" t="s">
        <v>1667</v>
      </c>
      <c r="P206" s="14">
        <f>IF(AG206="5",J206,0)</f>
        <v>0</v>
      </c>
      <c r="R206" s="14">
        <f>IF(AG206="1",H206,0)</f>
        <v>0</v>
      </c>
      <c r="S206" s="14">
        <f>IF(AG206="1",I206,0)</f>
        <v>0</v>
      </c>
      <c r="T206" s="14">
        <f>IF(AG206="7",H206,0)</f>
        <v>0</v>
      </c>
      <c r="U206" s="14">
        <f>IF(AG206="7",I206,0)</f>
        <v>0</v>
      </c>
      <c r="V206" s="14">
        <f>IF(AG206="2",H206,0)</f>
        <v>0</v>
      </c>
      <c r="W206" s="14">
        <f>IF(AG206="2",I206,0)</f>
        <v>0</v>
      </c>
      <c r="X206" s="14">
        <f>IF(AG206="0",J206,0)</f>
        <v>0</v>
      </c>
      <c r="Y206" s="8" t="s">
        <v>406</v>
      </c>
      <c r="Z206" s="5">
        <f>IF(AD206=0,J206,0)</f>
        <v>0</v>
      </c>
      <c r="AA206" s="5">
        <f>IF(AD206=15,J206,0)</f>
        <v>0</v>
      </c>
      <c r="AB206" s="5">
        <f>IF(AD206=21,J206,0)</f>
        <v>0</v>
      </c>
      <c r="AD206" s="14">
        <v>15</v>
      </c>
      <c r="AE206" s="14">
        <f>G206*0</f>
        <v>0</v>
      </c>
      <c r="AF206" s="14">
        <f>G206*(1-0)</f>
        <v>0</v>
      </c>
      <c r="AG206" s="10" t="s">
        <v>7</v>
      </c>
      <c r="AM206" s="14">
        <f>F206*AE206</f>
        <v>0</v>
      </c>
      <c r="AN206" s="14">
        <f>F206*AF206</f>
        <v>0</v>
      </c>
      <c r="AO206" s="15" t="s">
        <v>1689</v>
      </c>
      <c r="AP206" s="15" t="s">
        <v>1729</v>
      </c>
      <c r="AQ206" s="8" t="s">
        <v>1769</v>
      </c>
      <c r="AS206" s="14">
        <f>AM206+AN206</f>
        <v>0</v>
      </c>
      <c r="AT206" s="14">
        <f>G206/(100-AU206)*100</f>
        <v>0</v>
      </c>
      <c r="AU206" s="14">
        <v>0</v>
      </c>
      <c r="AV206" s="14">
        <f>L206</f>
        <v>0</v>
      </c>
    </row>
    <row r="207" spans="1:37" ht="12.75">
      <c r="A207" s="93"/>
      <c r="B207" s="94" t="s">
        <v>406</v>
      </c>
      <c r="C207" s="94" t="s">
        <v>67</v>
      </c>
      <c r="D207" s="95" t="s">
        <v>955</v>
      </c>
      <c r="E207" s="96"/>
      <c r="F207" s="96"/>
      <c r="G207" s="96"/>
      <c r="H207" s="97">
        <f>SUM(H208:H284)</f>
        <v>0</v>
      </c>
      <c r="I207" s="97">
        <f>SUM(I208:I284)</f>
        <v>0</v>
      </c>
      <c r="J207" s="97">
        <f>H207+I207</f>
        <v>0</v>
      </c>
      <c r="K207" s="98"/>
      <c r="L207" s="97">
        <f>SUM(L208:L284)</f>
        <v>4.895058100000001</v>
      </c>
      <c r="M207" s="98"/>
      <c r="Y207" s="8" t="s">
        <v>406</v>
      </c>
      <c r="AI207" s="16">
        <f>SUM(Z208:Z284)</f>
        <v>0</v>
      </c>
      <c r="AJ207" s="16">
        <f>SUM(AA208:AA284)</f>
        <v>0</v>
      </c>
      <c r="AK207" s="16">
        <f>SUM(AB208:AB284)</f>
        <v>0</v>
      </c>
    </row>
    <row r="208" spans="1:48" ht="12.75">
      <c r="A208" s="99" t="s">
        <v>61</v>
      </c>
      <c r="B208" s="99" t="s">
        <v>406</v>
      </c>
      <c r="C208" s="99" t="s">
        <v>470</v>
      </c>
      <c r="D208" s="99" t="s">
        <v>956</v>
      </c>
      <c r="E208" s="99" t="s">
        <v>1640</v>
      </c>
      <c r="F208" s="100">
        <v>448.11</v>
      </c>
      <c r="G208" s="100">
        <v>0</v>
      </c>
      <c r="H208" s="100">
        <f>F208*AE208</f>
        <v>0</v>
      </c>
      <c r="I208" s="100">
        <f>J208-H208</f>
        <v>0</v>
      </c>
      <c r="J208" s="100">
        <f>F208*G208</f>
        <v>0</v>
      </c>
      <c r="K208" s="100">
        <v>0.00803</v>
      </c>
      <c r="L208" s="100">
        <f>F208*K208</f>
        <v>3.5983233000000006</v>
      </c>
      <c r="M208" s="101" t="s">
        <v>1667</v>
      </c>
      <c r="P208" s="14">
        <f>IF(AG208="5",J208,0)</f>
        <v>0</v>
      </c>
      <c r="R208" s="14">
        <f>IF(AG208="1",H208,0)</f>
        <v>0</v>
      </c>
      <c r="S208" s="14">
        <f>IF(AG208="1",I208,0)</f>
        <v>0</v>
      </c>
      <c r="T208" s="14">
        <f>IF(AG208="7",H208,0)</f>
        <v>0</v>
      </c>
      <c r="U208" s="14">
        <f>IF(AG208="7",I208,0)</f>
        <v>0</v>
      </c>
      <c r="V208" s="14">
        <f>IF(AG208="2",H208,0)</f>
        <v>0</v>
      </c>
      <c r="W208" s="14">
        <f>IF(AG208="2",I208,0)</f>
        <v>0</v>
      </c>
      <c r="X208" s="14">
        <f>IF(AG208="0",J208,0)</f>
        <v>0</v>
      </c>
      <c r="Y208" s="8" t="s">
        <v>406</v>
      </c>
      <c r="Z208" s="5">
        <f>IF(AD208=0,J208,0)</f>
        <v>0</v>
      </c>
      <c r="AA208" s="5">
        <f>IF(AD208=15,J208,0)</f>
        <v>0</v>
      </c>
      <c r="AB208" s="5">
        <f>IF(AD208=21,J208,0)</f>
        <v>0</v>
      </c>
      <c r="AD208" s="14">
        <v>15</v>
      </c>
      <c r="AE208" s="14">
        <f>G208*0.399043659043659</f>
        <v>0</v>
      </c>
      <c r="AF208" s="14">
        <f>G208*(1-0.399043659043659)</f>
        <v>0</v>
      </c>
      <c r="AG208" s="10" t="s">
        <v>7</v>
      </c>
      <c r="AM208" s="14">
        <f>F208*AE208</f>
        <v>0</v>
      </c>
      <c r="AN208" s="14">
        <f>F208*AF208</f>
        <v>0</v>
      </c>
      <c r="AO208" s="15" t="s">
        <v>1690</v>
      </c>
      <c r="AP208" s="15" t="s">
        <v>1730</v>
      </c>
      <c r="AQ208" s="8" t="s">
        <v>1769</v>
      </c>
      <c r="AS208" s="14">
        <f>AM208+AN208</f>
        <v>0</v>
      </c>
      <c r="AT208" s="14">
        <f>G208/(100-AU208)*100</f>
        <v>0</v>
      </c>
      <c r="AU208" s="14">
        <v>0</v>
      </c>
      <c r="AV208" s="14">
        <f>L208</f>
        <v>3.5983233000000006</v>
      </c>
    </row>
    <row r="209" spans="1:13" ht="12.75">
      <c r="A209" s="102"/>
      <c r="B209" s="102"/>
      <c r="C209" s="102"/>
      <c r="D209" s="103" t="s">
        <v>957</v>
      </c>
      <c r="E209" s="102"/>
      <c r="F209" s="104">
        <v>21.4</v>
      </c>
      <c r="G209" s="102"/>
      <c r="H209" s="102"/>
      <c r="I209" s="102"/>
      <c r="J209" s="102"/>
      <c r="K209" s="102"/>
      <c r="L209" s="102"/>
      <c r="M209" s="102"/>
    </row>
    <row r="210" spans="1:13" ht="12.75">
      <c r="A210" s="102"/>
      <c r="B210" s="102"/>
      <c r="C210" s="102"/>
      <c r="D210" s="103" t="s">
        <v>860</v>
      </c>
      <c r="E210" s="102"/>
      <c r="F210" s="104">
        <v>-1.5</v>
      </c>
      <c r="G210" s="102"/>
      <c r="H210" s="102"/>
      <c r="I210" s="102"/>
      <c r="J210" s="102"/>
      <c r="K210" s="102"/>
      <c r="L210" s="102"/>
      <c r="M210" s="102"/>
    </row>
    <row r="211" spans="1:13" ht="12.75">
      <c r="A211" s="102"/>
      <c r="B211" s="102"/>
      <c r="C211" s="102"/>
      <c r="D211" s="103" t="s">
        <v>958</v>
      </c>
      <c r="E211" s="102"/>
      <c r="F211" s="104">
        <v>0.76</v>
      </c>
      <c r="G211" s="102"/>
      <c r="H211" s="102"/>
      <c r="I211" s="102"/>
      <c r="J211" s="102"/>
      <c r="K211" s="102"/>
      <c r="L211" s="102"/>
      <c r="M211" s="102"/>
    </row>
    <row r="212" spans="1:13" ht="12.75">
      <c r="A212" s="102"/>
      <c r="B212" s="102"/>
      <c r="C212" s="102"/>
      <c r="D212" s="103" t="s">
        <v>959</v>
      </c>
      <c r="E212" s="102"/>
      <c r="F212" s="104">
        <v>25.22</v>
      </c>
      <c r="G212" s="102"/>
      <c r="H212" s="102"/>
      <c r="I212" s="102"/>
      <c r="J212" s="102"/>
      <c r="K212" s="102"/>
      <c r="L212" s="102"/>
      <c r="M212" s="102"/>
    </row>
    <row r="213" spans="1:13" ht="12.75">
      <c r="A213" s="102"/>
      <c r="B213" s="102"/>
      <c r="C213" s="102"/>
      <c r="D213" s="103" t="s">
        <v>960</v>
      </c>
      <c r="E213" s="102"/>
      <c r="F213" s="104">
        <v>-3.52</v>
      </c>
      <c r="G213" s="102"/>
      <c r="H213" s="102"/>
      <c r="I213" s="102"/>
      <c r="J213" s="102"/>
      <c r="K213" s="102"/>
      <c r="L213" s="102"/>
      <c r="M213" s="102"/>
    </row>
    <row r="214" spans="1:13" ht="12.75">
      <c r="A214" s="102"/>
      <c r="B214" s="102"/>
      <c r="C214" s="102"/>
      <c r="D214" s="103" t="s">
        <v>961</v>
      </c>
      <c r="E214" s="102"/>
      <c r="F214" s="104">
        <v>-5.81</v>
      </c>
      <c r="G214" s="102"/>
      <c r="H214" s="102"/>
      <c r="I214" s="102"/>
      <c r="J214" s="102"/>
      <c r="K214" s="102"/>
      <c r="L214" s="102"/>
      <c r="M214" s="102"/>
    </row>
    <row r="215" spans="1:13" ht="12.75">
      <c r="A215" s="102"/>
      <c r="B215" s="102"/>
      <c r="C215" s="102"/>
      <c r="D215" s="103" t="s">
        <v>962</v>
      </c>
      <c r="E215" s="102"/>
      <c r="F215" s="104">
        <v>39.87</v>
      </c>
      <c r="G215" s="102"/>
      <c r="H215" s="102"/>
      <c r="I215" s="102"/>
      <c r="J215" s="102"/>
      <c r="K215" s="102"/>
      <c r="L215" s="102"/>
      <c r="M215" s="102"/>
    </row>
    <row r="216" spans="1:13" ht="12.75">
      <c r="A216" s="102"/>
      <c r="B216" s="102"/>
      <c r="C216" s="102"/>
      <c r="D216" s="103" t="s">
        <v>963</v>
      </c>
      <c r="E216" s="102"/>
      <c r="F216" s="104">
        <v>4.66</v>
      </c>
      <c r="G216" s="102"/>
      <c r="H216" s="102"/>
      <c r="I216" s="102"/>
      <c r="J216" s="102"/>
      <c r="K216" s="102"/>
      <c r="L216" s="102"/>
      <c r="M216" s="102"/>
    </row>
    <row r="217" spans="1:13" ht="12.75">
      <c r="A217" s="102"/>
      <c r="B217" s="102"/>
      <c r="C217" s="102"/>
      <c r="D217" s="103" t="s">
        <v>852</v>
      </c>
      <c r="E217" s="102"/>
      <c r="F217" s="104">
        <v>-1.5</v>
      </c>
      <c r="G217" s="102"/>
      <c r="H217" s="102"/>
      <c r="I217" s="102"/>
      <c r="J217" s="102"/>
      <c r="K217" s="102"/>
      <c r="L217" s="102"/>
      <c r="M217" s="102"/>
    </row>
    <row r="218" spans="1:13" ht="12.75">
      <c r="A218" s="102"/>
      <c r="B218" s="102"/>
      <c r="C218" s="102"/>
      <c r="D218" s="103" t="s">
        <v>964</v>
      </c>
      <c r="E218" s="102"/>
      <c r="F218" s="104">
        <v>0.56</v>
      </c>
      <c r="G218" s="102"/>
      <c r="H218" s="102"/>
      <c r="I218" s="102"/>
      <c r="J218" s="102"/>
      <c r="K218" s="102"/>
      <c r="L218" s="102"/>
      <c r="M218" s="102"/>
    </row>
    <row r="219" spans="1:13" ht="12.75">
      <c r="A219" s="102"/>
      <c r="B219" s="102"/>
      <c r="C219" s="102"/>
      <c r="D219" s="103" t="s">
        <v>965</v>
      </c>
      <c r="E219" s="102"/>
      <c r="F219" s="104">
        <v>-1.76</v>
      </c>
      <c r="G219" s="102"/>
      <c r="H219" s="102"/>
      <c r="I219" s="102"/>
      <c r="J219" s="102"/>
      <c r="K219" s="102"/>
      <c r="L219" s="102"/>
      <c r="M219" s="102"/>
    </row>
    <row r="220" spans="1:13" ht="12.75">
      <c r="A220" s="102"/>
      <c r="B220" s="102"/>
      <c r="C220" s="102"/>
      <c r="D220" s="103" t="s">
        <v>966</v>
      </c>
      <c r="E220" s="102"/>
      <c r="F220" s="104">
        <v>25.51</v>
      </c>
      <c r="G220" s="102"/>
      <c r="H220" s="102"/>
      <c r="I220" s="102"/>
      <c r="J220" s="102"/>
      <c r="K220" s="102"/>
      <c r="L220" s="102"/>
      <c r="M220" s="102"/>
    </row>
    <row r="221" spans="1:13" ht="12.75">
      <c r="A221" s="102"/>
      <c r="B221" s="102"/>
      <c r="C221" s="102"/>
      <c r="D221" s="103" t="s">
        <v>965</v>
      </c>
      <c r="E221" s="102"/>
      <c r="F221" s="104">
        <v>-1.76</v>
      </c>
      <c r="G221" s="102"/>
      <c r="H221" s="102"/>
      <c r="I221" s="102"/>
      <c r="J221" s="102"/>
      <c r="K221" s="102"/>
      <c r="L221" s="102"/>
      <c r="M221" s="102"/>
    </row>
    <row r="222" spans="1:13" ht="12.75">
      <c r="A222" s="102"/>
      <c r="B222" s="102"/>
      <c r="C222" s="102"/>
      <c r="D222" s="103" t="s">
        <v>967</v>
      </c>
      <c r="E222" s="102"/>
      <c r="F222" s="104">
        <v>50.73</v>
      </c>
      <c r="G222" s="102"/>
      <c r="H222" s="102"/>
      <c r="I222" s="102"/>
      <c r="J222" s="102"/>
      <c r="K222" s="102"/>
      <c r="L222" s="102"/>
      <c r="M222" s="102"/>
    </row>
    <row r="223" spans="1:13" ht="12.75">
      <c r="A223" s="102"/>
      <c r="B223" s="102"/>
      <c r="C223" s="102"/>
      <c r="D223" s="103" t="s">
        <v>867</v>
      </c>
      <c r="E223" s="102"/>
      <c r="F223" s="104">
        <v>-1.94</v>
      </c>
      <c r="G223" s="102"/>
      <c r="H223" s="102"/>
      <c r="I223" s="102"/>
      <c r="J223" s="102"/>
      <c r="K223" s="102"/>
      <c r="L223" s="102"/>
      <c r="M223" s="102"/>
    </row>
    <row r="224" spans="1:13" ht="12.75">
      <c r="A224" s="102"/>
      <c r="B224" s="102"/>
      <c r="C224" s="102"/>
      <c r="D224" s="103" t="s">
        <v>968</v>
      </c>
      <c r="E224" s="102"/>
      <c r="F224" s="104">
        <v>-3</v>
      </c>
      <c r="G224" s="102"/>
      <c r="H224" s="102"/>
      <c r="I224" s="102"/>
      <c r="J224" s="102"/>
      <c r="K224" s="102"/>
      <c r="L224" s="102"/>
      <c r="M224" s="102"/>
    </row>
    <row r="225" spans="1:13" ht="12.75">
      <c r="A225" s="102"/>
      <c r="B225" s="102"/>
      <c r="C225" s="102"/>
      <c r="D225" s="103" t="s">
        <v>969</v>
      </c>
      <c r="E225" s="102"/>
      <c r="F225" s="104">
        <v>0.78</v>
      </c>
      <c r="G225" s="102"/>
      <c r="H225" s="102"/>
      <c r="I225" s="102"/>
      <c r="J225" s="102"/>
      <c r="K225" s="102"/>
      <c r="L225" s="102"/>
      <c r="M225" s="102"/>
    </row>
    <row r="226" spans="1:13" ht="12.75">
      <c r="A226" s="102"/>
      <c r="B226" s="102"/>
      <c r="C226" s="102"/>
      <c r="D226" s="103" t="s">
        <v>898</v>
      </c>
      <c r="E226" s="102"/>
      <c r="F226" s="104">
        <v>-1.47</v>
      </c>
      <c r="G226" s="102"/>
      <c r="H226" s="102"/>
      <c r="I226" s="102"/>
      <c r="J226" s="102"/>
      <c r="K226" s="102"/>
      <c r="L226" s="102"/>
      <c r="M226" s="102"/>
    </row>
    <row r="227" spans="1:13" ht="12.75">
      <c r="A227" s="102"/>
      <c r="B227" s="102"/>
      <c r="C227" s="102"/>
      <c r="D227" s="103" t="s">
        <v>859</v>
      </c>
      <c r="E227" s="102"/>
      <c r="F227" s="104">
        <v>-0.94</v>
      </c>
      <c r="G227" s="102"/>
      <c r="H227" s="102"/>
      <c r="I227" s="102"/>
      <c r="J227" s="102"/>
      <c r="K227" s="102"/>
      <c r="L227" s="102"/>
      <c r="M227" s="102"/>
    </row>
    <row r="228" spans="1:13" ht="12.75">
      <c r="A228" s="102"/>
      <c r="B228" s="102"/>
      <c r="C228" s="102"/>
      <c r="D228" s="103" t="s">
        <v>970</v>
      </c>
      <c r="E228" s="102"/>
      <c r="F228" s="104">
        <v>0.52</v>
      </c>
      <c r="G228" s="102"/>
      <c r="H228" s="102"/>
      <c r="I228" s="102"/>
      <c r="J228" s="102"/>
      <c r="K228" s="102"/>
      <c r="L228" s="102"/>
      <c r="M228" s="102"/>
    </row>
    <row r="229" spans="1:13" ht="12.75">
      <c r="A229" s="102"/>
      <c r="B229" s="102"/>
      <c r="C229" s="102"/>
      <c r="D229" s="103" t="s">
        <v>971</v>
      </c>
      <c r="E229" s="102"/>
      <c r="F229" s="104">
        <v>50.67</v>
      </c>
      <c r="G229" s="102"/>
      <c r="H229" s="102"/>
      <c r="I229" s="102"/>
      <c r="J229" s="102"/>
      <c r="K229" s="102"/>
      <c r="L229" s="102"/>
      <c r="M229" s="102"/>
    </row>
    <row r="230" spans="1:13" ht="12.75">
      <c r="A230" s="102"/>
      <c r="B230" s="102"/>
      <c r="C230" s="102"/>
      <c r="D230" s="103" t="s">
        <v>867</v>
      </c>
      <c r="E230" s="102"/>
      <c r="F230" s="104">
        <v>-1.94</v>
      </c>
      <c r="G230" s="102"/>
      <c r="H230" s="102"/>
      <c r="I230" s="102"/>
      <c r="J230" s="102"/>
      <c r="K230" s="102"/>
      <c r="L230" s="102"/>
      <c r="M230" s="102"/>
    </row>
    <row r="231" spans="1:13" ht="12.75">
      <c r="A231" s="102"/>
      <c r="B231" s="102"/>
      <c r="C231" s="102"/>
      <c r="D231" s="103" t="s">
        <v>968</v>
      </c>
      <c r="E231" s="102"/>
      <c r="F231" s="104">
        <v>-3</v>
      </c>
      <c r="G231" s="102"/>
      <c r="H231" s="102"/>
      <c r="I231" s="102"/>
      <c r="J231" s="102"/>
      <c r="K231" s="102"/>
      <c r="L231" s="102"/>
      <c r="M231" s="102"/>
    </row>
    <row r="232" spans="1:13" ht="12.75">
      <c r="A232" s="102"/>
      <c r="B232" s="102"/>
      <c r="C232" s="102"/>
      <c r="D232" s="103" t="s">
        <v>969</v>
      </c>
      <c r="E232" s="102"/>
      <c r="F232" s="104">
        <v>0.78</v>
      </c>
      <c r="G232" s="102"/>
      <c r="H232" s="102"/>
      <c r="I232" s="102"/>
      <c r="J232" s="102"/>
      <c r="K232" s="102"/>
      <c r="L232" s="102"/>
      <c r="M232" s="102"/>
    </row>
    <row r="233" spans="1:13" ht="12.75">
      <c r="A233" s="102"/>
      <c r="B233" s="102"/>
      <c r="C233" s="102"/>
      <c r="D233" s="103" t="s">
        <v>852</v>
      </c>
      <c r="E233" s="102"/>
      <c r="F233" s="104">
        <v>-1.5</v>
      </c>
      <c r="G233" s="102"/>
      <c r="H233" s="102"/>
      <c r="I233" s="102"/>
      <c r="J233" s="102"/>
      <c r="K233" s="102"/>
      <c r="L233" s="102"/>
      <c r="M233" s="102"/>
    </row>
    <row r="234" spans="1:13" ht="12.75">
      <c r="A234" s="102"/>
      <c r="B234" s="102"/>
      <c r="C234" s="102"/>
      <c r="D234" s="103" t="s">
        <v>964</v>
      </c>
      <c r="E234" s="102"/>
      <c r="F234" s="104">
        <v>0.56</v>
      </c>
      <c r="G234" s="102"/>
      <c r="H234" s="102"/>
      <c r="I234" s="102"/>
      <c r="J234" s="102"/>
      <c r="K234" s="102"/>
      <c r="L234" s="102"/>
      <c r="M234" s="102"/>
    </row>
    <row r="235" spans="1:13" ht="12.75">
      <c r="A235" s="102"/>
      <c r="B235" s="102"/>
      <c r="C235" s="102"/>
      <c r="D235" s="103" t="s">
        <v>898</v>
      </c>
      <c r="E235" s="102"/>
      <c r="F235" s="104">
        <v>-1.47</v>
      </c>
      <c r="G235" s="102"/>
      <c r="H235" s="102"/>
      <c r="I235" s="102"/>
      <c r="J235" s="102"/>
      <c r="K235" s="102"/>
      <c r="L235" s="102"/>
      <c r="M235" s="102"/>
    </row>
    <row r="236" spans="1:13" ht="12.75">
      <c r="A236" s="102"/>
      <c r="B236" s="102"/>
      <c r="C236" s="102"/>
      <c r="D236" s="103" t="s">
        <v>972</v>
      </c>
      <c r="E236" s="102"/>
      <c r="F236" s="104">
        <v>0.56</v>
      </c>
      <c r="G236" s="102"/>
      <c r="H236" s="102"/>
      <c r="I236" s="102"/>
      <c r="J236" s="102"/>
      <c r="K236" s="102"/>
      <c r="L236" s="102"/>
      <c r="M236" s="102"/>
    </row>
    <row r="237" spans="1:13" ht="12.75">
      <c r="A237" s="102"/>
      <c r="B237" s="102"/>
      <c r="C237" s="102"/>
      <c r="D237" s="103" t="s">
        <v>973</v>
      </c>
      <c r="E237" s="102"/>
      <c r="F237" s="104">
        <v>41.47</v>
      </c>
      <c r="G237" s="102"/>
      <c r="H237" s="102"/>
      <c r="I237" s="102"/>
      <c r="J237" s="102"/>
      <c r="K237" s="102"/>
      <c r="L237" s="102"/>
      <c r="M237" s="102"/>
    </row>
    <row r="238" spans="1:13" ht="12.75">
      <c r="A238" s="102"/>
      <c r="B238" s="102"/>
      <c r="C238" s="102"/>
      <c r="D238" s="103" t="s">
        <v>867</v>
      </c>
      <c r="E238" s="102"/>
      <c r="F238" s="104">
        <v>-1.94</v>
      </c>
      <c r="G238" s="102"/>
      <c r="H238" s="102"/>
      <c r="I238" s="102"/>
      <c r="J238" s="102"/>
      <c r="K238" s="102"/>
      <c r="L238" s="102"/>
      <c r="M238" s="102"/>
    </row>
    <row r="239" spans="1:13" ht="12.75">
      <c r="A239" s="102"/>
      <c r="B239" s="102"/>
      <c r="C239" s="102"/>
      <c r="D239" s="103" t="s">
        <v>861</v>
      </c>
      <c r="E239" s="102"/>
      <c r="F239" s="104">
        <v>-1.25</v>
      </c>
      <c r="G239" s="102"/>
      <c r="H239" s="102"/>
      <c r="I239" s="102"/>
      <c r="J239" s="102"/>
      <c r="K239" s="102"/>
      <c r="L239" s="102"/>
      <c r="M239" s="102"/>
    </row>
    <row r="240" spans="1:13" ht="12.75">
      <c r="A240" s="102"/>
      <c r="B240" s="102"/>
      <c r="C240" s="102"/>
      <c r="D240" s="103" t="s">
        <v>974</v>
      </c>
      <c r="E240" s="102"/>
      <c r="F240" s="104">
        <v>0.56</v>
      </c>
      <c r="G240" s="102"/>
      <c r="H240" s="102"/>
      <c r="I240" s="102"/>
      <c r="J240" s="102"/>
      <c r="K240" s="102"/>
      <c r="L240" s="102"/>
      <c r="M240" s="102"/>
    </row>
    <row r="241" spans="1:13" ht="12.75">
      <c r="A241" s="102"/>
      <c r="B241" s="102"/>
      <c r="C241" s="102"/>
      <c r="D241" s="103" t="s">
        <v>862</v>
      </c>
      <c r="E241" s="102"/>
      <c r="F241" s="104">
        <v>-1.56</v>
      </c>
      <c r="G241" s="102"/>
      <c r="H241" s="102"/>
      <c r="I241" s="102"/>
      <c r="J241" s="102"/>
      <c r="K241" s="102"/>
      <c r="L241" s="102"/>
      <c r="M241" s="102"/>
    </row>
    <row r="242" spans="1:13" ht="12.75">
      <c r="A242" s="102"/>
      <c r="B242" s="102"/>
      <c r="C242" s="102"/>
      <c r="D242" s="103" t="s">
        <v>975</v>
      </c>
      <c r="E242" s="102"/>
      <c r="F242" s="104">
        <v>0.6</v>
      </c>
      <c r="G242" s="102"/>
      <c r="H242" s="102"/>
      <c r="I242" s="102"/>
      <c r="J242" s="102"/>
      <c r="K242" s="102"/>
      <c r="L242" s="102"/>
      <c r="M242" s="102"/>
    </row>
    <row r="243" spans="1:13" ht="12.75">
      <c r="A243" s="102"/>
      <c r="B243" s="102"/>
      <c r="C243" s="102"/>
      <c r="D243" s="103" t="s">
        <v>976</v>
      </c>
      <c r="E243" s="102"/>
      <c r="F243" s="104">
        <v>20.16</v>
      </c>
      <c r="G243" s="102"/>
      <c r="H243" s="102"/>
      <c r="I243" s="102"/>
      <c r="J243" s="102"/>
      <c r="K243" s="102"/>
      <c r="L243" s="102"/>
      <c r="M243" s="102"/>
    </row>
    <row r="244" spans="1:13" ht="12.75">
      <c r="A244" s="102"/>
      <c r="B244" s="102"/>
      <c r="C244" s="102"/>
      <c r="D244" s="103" t="s">
        <v>854</v>
      </c>
      <c r="E244" s="102"/>
      <c r="F244" s="104">
        <v>-2.86</v>
      </c>
      <c r="G244" s="102"/>
      <c r="H244" s="102"/>
      <c r="I244" s="102"/>
      <c r="J244" s="102"/>
      <c r="K244" s="102"/>
      <c r="L244" s="102"/>
      <c r="M244" s="102"/>
    </row>
    <row r="245" spans="1:13" ht="12.75">
      <c r="A245" s="102"/>
      <c r="B245" s="102"/>
      <c r="C245" s="102"/>
      <c r="D245" s="103" t="s">
        <v>867</v>
      </c>
      <c r="E245" s="102"/>
      <c r="F245" s="104">
        <v>-1.94</v>
      </c>
      <c r="G245" s="102"/>
      <c r="H245" s="102"/>
      <c r="I245" s="102"/>
      <c r="J245" s="102"/>
      <c r="K245" s="102"/>
      <c r="L245" s="102"/>
      <c r="M245" s="102"/>
    </row>
    <row r="246" spans="1:13" ht="12.75">
      <c r="A246" s="102"/>
      <c r="B246" s="102"/>
      <c r="C246" s="102"/>
      <c r="D246" s="103" t="s">
        <v>977</v>
      </c>
      <c r="E246" s="102"/>
      <c r="F246" s="104">
        <v>30.13</v>
      </c>
      <c r="G246" s="102"/>
      <c r="H246" s="102"/>
      <c r="I246" s="102"/>
      <c r="J246" s="102"/>
      <c r="K246" s="102"/>
      <c r="L246" s="102"/>
      <c r="M246" s="102"/>
    </row>
    <row r="247" spans="1:13" ht="12.75">
      <c r="A247" s="102"/>
      <c r="B247" s="102"/>
      <c r="C247" s="102"/>
      <c r="D247" s="103" t="s">
        <v>978</v>
      </c>
      <c r="E247" s="102"/>
      <c r="F247" s="104">
        <v>-3.41</v>
      </c>
      <c r="G247" s="102"/>
      <c r="H247" s="102"/>
      <c r="I247" s="102"/>
      <c r="J247" s="102"/>
      <c r="K247" s="102"/>
      <c r="L247" s="102"/>
      <c r="M247" s="102"/>
    </row>
    <row r="248" spans="1:13" ht="12.75">
      <c r="A248" s="102"/>
      <c r="B248" s="102"/>
      <c r="C248" s="102"/>
      <c r="D248" s="103" t="s">
        <v>853</v>
      </c>
      <c r="E248" s="102"/>
      <c r="F248" s="104">
        <v>-1.13</v>
      </c>
      <c r="G248" s="102"/>
      <c r="H248" s="102"/>
      <c r="I248" s="102"/>
      <c r="J248" s="102"/>
      <c r="K248" s="102"/>
      <c r="L248" s="102"/>
      <c r="M248" s="102"/>
    </row>
    <row r="249" spans="1:13" ht="12.75">
      <c r="A249" s="102"/>
      <c r="B249" s="102"/>
      <c r="C249" s="102"/>
      <c r="D249" s="103" t="s">
        <v>979</v>
      </c>
      <c r="E249" s="102"/>
      <c r="F249" s="104">
        <v>0.6</v>
      </c>
      <c r="G249" s="102"/>
      <c r="H249" s="102"/>
      <c r="I249" s="102"/>
      <c r="J249" s="102"/>
      <c r="K249" s="102"/>
      <c r="L249" s="102"/>
      <c r="M249" s="102"/>
    </row>
    <row r="250" spans="1:13" ht="12.75">
      <c r="A250" s="102"/>
      <c r="B250" s="102"/>
      <c r="C250" s="102"/>
      <c r="D250" s="103" t="s">
        <v>980</v>
      </c>
      <c r="E250" s="102"/>
      <c r="F250" s="104">
        <v>19.08</v>
      </c>
      <c r="G250" s="102"/>
      <c r="H250" s="102"/>
      <c r="I250" s="102"/>
      <c r="J250" s="102"/>
      <c r="K250" s="102"/>
      <c r="L250" s="102"/>
      <c r="M250" s="102"/>
    </row>
    <row r="251" spans="1:13" ht="12.75">
      <c r="A251" s="102"/>
      <c r="B251" s="102"/>
      <c r="C251" s="102"/>
      <c r="D251" s="103" t="s">
        <v>868</v>
      </c>
      <c r="E251" s="102"/>
      <c r="F251" s="104">
        <v>-1.72</v>
      </c>
      <c r="G251" s="102"/>
      <c r="H251" s="102"/>
      <c r="I251" s="102"/>
      <c r="J251" s="102"/>
      <c r="K251" s="102"/>
      <c r="L251" s="102"/>
      <c r="M251" s="102"/>
    </row>
    <row r="252" spans="1:13" ht="12.75">
      <c r="A252" s="102"/>
      <c r="B252" s="102"/>
      <c r="C252" s="102"/>
      <c r="D252" s="103" t="s">
        <v>981</v>
      </c>
      <c r="E252" s="102"/>
      <c r="F252" s="104">
        <v>80.97</v>
      </c>
      <c r="G252" s="102"/>
      <c r="H252" s="102"/>
      <c r="I252" s="102"/>
      <c r="J252" s="102"/>
      <c r="K252" s="102"/>
      <c r="L252" s="102"/>
      <c r="M252" s="102"/>
    </row>
    <row r="253" spans="1:13" ht="12.75">
      <c r="A253" s="102"/>
      <c r="B253" s="102"/>
      <c r="C253" s="102"/>
      <c r="D253" s="103" t="s">
        <v>851</v>
      </c>
      <c r="E253" s="102"/>
      <c r="F253" s="104">
        <v>-11.76</v>
      </c>
      <c r="G253" s="102"/>
      <c r="H253" s="102"/>
      <c r="I253" s="102"/>
      <c r="J253" s="102"/>
      <c r="K253" s="102"/>
      <c r="L253" s="102"/>
      <c r="M253" s="102"/>
    </row>
    <row r="254" spans="1:13" ht="12.75">
      <c r="A254" s="102"/>
      <c r="B254" s="102"/>
      <c r="C254" s="102"/>
      <c r="D254" s="103" t="s">
        <v>982</v>
      </c>
      <c r="E254" s="102"/>
      <c r="F254" s="104">
        <v>2.34</v>
      </c>
      <c r="G254" s="102"/>
      <c r="H254" s="102"/>
      <c r="I254" s="102"/>
      <c r="J254" s="102"/>
      <c r="K254" s="102"/>
      <c r="L254" s="102"/>
      <c r="M254" s="102"/>
    </row>
    <row r="255" spans="1:13" ht="12.75">
      <c r="A255" s="102"/>
      <c r="B255" s="102"/>
      <c r="C255" s="102"/>
      <c r="D255" s="103" t="s">
        <v>983</v>
      </c>
      <c r="E255" s="102"/>
      <c r="F255" s="104">
        <v>-3</v>
      </c>
      <c r="G255" s="102"/>
      <c r="H255" s="102"/>
      <c r="I255" s="102"/>
      <c r="J255" s="102"/>
      <c r="K255" s="102"/>
      <c r="L255" s="102"/>
      <c r="M255" s="102"/>
    </row>
    <row r="256" spans="1:13" ht="12.75">
      <c r="A256" s="102"/>
      <c r="B256" s="102"/>
      <c r="C256" s="102"/>
      <c r="D256" s="103" t="s">
        <v>984</v>
      </c>
      <c r="E256" s="102"/>
      <c r="F256" s="104">
        <v>1.12</v>
      </c>
      <c r="G256" s="102"/>
      <c r="H256" s="102"/>
      <c r="I256" s="102"/>
      <c r="J256" s="102"/>
      <c r="K256" s="102"/>
      <c r="L256" s="102"/>
      <c r="M256" s="102"/>
    </row>
    <row r="257" spans="1:13" ht="12.75">
      <c r="A257" s="102"/>
      <c r="B257" s="102"/>
      <c r="C257" s="102"/>
      <c r="D257" s="103" t="s">
        <v>867</v>
      </c>
      <c r="E257" s="102"/>
      <c r="F257" s="104">
        <v>-1.94</v>
      </c>
      <c r="G257" s="102"/>
      <c r="H257" s="102"/>
      <c r="I257" s="102"/>
      <c r="J257" s="102"/>
      <c r="K257" s="102"/>
      <c r="L257" s="102"/>
      <c r="M257" s="102"/>
    </row>
    <row r="258" spans="1:13" ht="12.75">
      <c r="A258" s="102"/>
      <c r="B258" s="102"/>
      <c r="C258" s="102"/>
      <c r="D258" s="103" t="s">
        <v>868</v>
      </c>
      <c r="E258" s="102"/>
      <c r="F258" s="104">
        <v>-1.72</v>
      </c>
      <c r="G258" s="102"/>
      <c r="H258" s="102"/>
      <c r="I258" s="102"/>
      <c r="J258" s="102"/>
      <c r="K258" s="102"/>
      <c r="L258" s="102"/>
      <c r="M258" s="102"/>
    </row>
    <row r="259" spans="1:13" ht="12.75">
      <c r="A259" s="102"/>
      <c r="B259" s="102"/>
      <c r="C259" s="102"/>
      <c r="D259" s="103" t="s">
        <v>985</v>
      </c>
      <c r="E259" s="102"/>
      <c r="F259" s="104">
        <v>2.32</v>
      </c>
      <c r="G259" s="102"/>
      <c r="H259" s="102"/>
      <c r="I259" s="102"/>
      <c r="J259" s="102"/>
      <c r="K259" s="102"/>
      <c r="L259" s="102"/>
      <c r="M259" s="102"/>
    </row>
    <row r="260" spans="1:13" ht="12.75">
      <c r="A260" s="102"/>
      <c r="B260" s="102"/>
      <c r="C260" s="102"/>
      <c r="D260" s="103" t="s">
        <v>986</v>
      </c>
      <c r="E260" s="102"/>
      <c r="F260" s="104">
        <v>41.12</v>
      </c>
      <c r="G260" s="102"/>
      <c r="H260" s="102"/>
      <c r="I260" s="102"/>
      <c r="J260" s="102"/>
      <c r="K260" s="102"/>
      <c r="L260" s="102"/>
      <c r="M260" s="102"/>
    </row>
    <row r="261" spans="1:13" ht="12.75">
      <c r="A261" s="102"/>
      <c r="B261" s="102"/>
      <c r="C261" s="102"/>
      <c r="D261" s="103" t="s">
        <v>855</v>
      </c>
      <c r="E261" s="102"/>
      <c r="F261" s="104">
        <v>-1.88</v>
      </c>
      <c r="G261" s="102"/>
      <c r="H261" s="102"/>
      <c r="I261" s="102"/>
      <c r="J261" s="102"/>
      <c r="K261" s="102"/>
      <c r="L261" s="102"/>
      <c r="M261" s="102"/>
    </row>
    <row r="262" spans="1:13" ht="12.75">
      <c r="A262" s="102"/>
      <c r="B262" s="102"/>
      <c r="C262" s="102"/>
      <c r="D262" s="103" t="s">
        <v>987</v>
      </c>
      <c r="E262" s="102"/>
      <c r="F262" s="104">
        <v>0.68</v>
      </c>
      <c r="G262" s="102"/>
      <c r="H262" s="102"/>
      <c r="I262" s="102"/>
      <c r="J262" s="102"/>
      <c r="K262" s="102"/>
      <c r="L262" s="102"/>
      <c r="M262" s="102"/>
    </row>
    <row r="263" spans="1:13" ht="12.75">
      <c r="A263" s="102"/>
      <c r="B263" s="102"/>
      <c r="C263" s="102"/>
      <c r="D263" s="103" t="s">
        <v>867</v>
      </c>
      <c r="E263" s="102"/>
      <c r="F263" s="104">
        <v>-1.94</v>
      </c>
      <c r="G263" s="102"/>
      <c r="H263" s="102"/>
      <c r="I263" s="102"/>
      <c r="J263" s="102"/>
      <c r="K263" s="102"/>
      <c r="L263" s="102"/>
      <c r="M263" s="102"/>
    </row>
    <row r="264" spans="1:13" ht="12.75">
      <c r="A264" s="102"/>
      <c r="B264" s="102"/>
      <c r="C264" s="102"/>
      <c r="D264" s="103" t="s">
        <v>988</v>
      </c>
      <c r="E264" s="102"/>
      <c r="F264" s="104">
        <v>2.57</v>
      </c>
      <c r="G264" s="102"/>
      <c r="H264" s="102"/>
      <c r="I264" s="102"/>
      <c r="J264" s="102"/>
      <c r="K264" s="102"/>
      <c r="L264" s="102"/>
      <c r="M264" s="102"/>
    </row>
    <row r="265" spans="1:13" ht="12.75">
      <c r="A265" s="102"/>
      <c r="B265" s="102"/>
      <c r="C265" s="102"/>
      <c r="D265" s="103" t="s">
        <v>989</v>
      </c>
      <c r="E265" s="102"/>
      <c r="F265" s="104">
        <v>1.59</v>
      </c>
      <c r="G265" s="102"/>
      <c r="H265" s="102"/>
      <c r="I265" s="102"/>
      <c r="J265" s="102"/>
      <c r="K265" s="102"/>
      <c r="L265" s="102"/>
      <c r="M265" s="102"/>
    </row>
    <row r="266" spans="1:13" ht="12.75">
      <c r="A266" s="102"/>
      <c r="B266" s="102"/>
      <c r="C266" s="102"/>
      <c r="D266" s="103" t="s">
        <v>990</v>
      </c>
      <c r="E266" s="102"/>
      <c r="F266" s="104">
        <v>10.95</v>
      </c>
      <c r="G266" s="102"/>
      <c r="H266" s="102"/>
      <c r="I266" s="102"/>
      <c r="J266" s="102"/>
      <c r="K266" s="102"/>
      <c r="L266" s="102"/>
      <c r="M266" s="102"/>
    </row>
    <row r="267" spans="1:13" ht="12.75">
      <c r="A267" s="102"/>
      <c r="B267" s="102"/>
      <c r="C267" s="102"/>
      <c r="D267" s="103" t="s">
        <v>991</v>
      </c>
      <c r="E267" s="102"/>
      <c r="F267" s="104">
        <v>-1.51</v>
      </c>
      <c r="G267" s="102"/>
      <c r="H267" s="102"/>
      <c r="I267" s="102"/>
      <c r="J267" s="102"/>
      <c r="K267" s="102"/>
      <c r="L267" s="102"/>
      <c r="M267" s="102"/>
    </row>
    <row r="268" spans="1:13" ht="12.75">
      <c r="A268" s="102"/>
      <c r="B268" s="102"/>
      <c r="C268" s="102"/>
      <c r="D268" s="103" t="s">
        <v>992</v>
      </c>
      <c r="E268" s="102"/>
      <c r="F268" s="104">
        <v>3.54</v>
      </c>
      <c r="G268" s="102"/>
      <c r="H268" s="102"/>
      <c r="I268" s="102"/>
      <c r="J268" s="102"/>
      <c r="K268" s="102"/>
      <c r="L268" s="102"/>
      <c r="M268" s="102"/>
    </row>
    <row r="269" spans="1:13" ht="12.75">
      <c r="A269" s="102"/>
      <c r="B269" s="102"/>
      <c r="C269" s="102"/>
      <c r="D269" s="103" t="s">
        <v>993</v>
      </c>
      <c r="E269" s="102"/>
      <c r="F269" s="104">
        <v>5.95</v>
      </c>
      <c r="G269" s="102"/>
      <c r="H269" s="102"/>
      <c r="I269" s="102"/>
      <c r="J269" s="102"/>
      <c r="K269" s="102"/>
      <c r="L269" s="102"/>
      <c r="M269" s="102"/>
    </row>
    <row r="270" spans="1:13" ht="12.75">
      <c r="A270" s="102"/>
      <c r="B270" s="102"/>
      <c r="C270" s="102"/>
      <c r="D270" s="103" t="s">
        <v>994</v>
      </c>
      <c r="E270" s="102"/>
      <c r="F270" s="104">
        <v>39.31</v>
      </c>
      <c r="G270" s="102"/>
      <c r="H270" s="102"/>
      <c r="I270" s="102"/>
      <c r="J270" s="102"/>
      <c r="K270" s="102"/>
      <c r="L270" s="102"/>
      <c r="M270" s="102"/>
    </row>
    <row r="271" spans="1:13" ht="12.75">
      <c r="A271" s="102"/>
      <c r="B271" s="102"/>
      <c r="C271" s="102"/>
      <c r="D271" s="103" t="s">
        <v>961</v>
      </c>
      <c r="E271" s="102"/>
      <c r="F271" s="104">
        <v>-5.81</v>
      </c>
      <c r="G271" s="102"/>
      <c r="H271" s="102"/>
      <c r="I271" s="102"/>
      <c r="J271" s="102"/>
      <c r="K271" s="102"/>
      <c r="L271" s="102"/>
      <c r="M271" s="102"/>
    </row>
    <row r="272" spans="1:13" ht="12.75">
      <c r="A272" s="102"/>
      <c r="B272" s="102"/>
      <c r="C272" s="102"/>
      <c r="D272" s="103" t="s">
        <v>995</v>
      </c>
      <c r="E272" s="102"/>
      <c r="F272" s="104">
        <v>-1.54</v>
      </c>
      <c r="G272" s="102"/>
      <c r="H272" s="102"/>
      <c r="I272" s="102"/>
      <c r="J272" s="102"/>
      <c r="K272" s="102"/>
      <c r="L272" s="102"/>
      <c r="M272" s="102"/>
    </row>
    <row r="273" spans="1:13" ht="12.75">
      <c r="A273" s="102"/>
      <c r="B273" s="102"/>
      <c r="C273" s="102"/>
      <c r="D273" s="103" t="s">
        <v>991</v>
      </c>
      <c r="E273" s="102"/>
      <c r="F273" s="104">
        <v>-1.51</v>
      </c>
      <c r="G273" s="102"/>
      <c r="H273" s="102"/>
      <c r="I273" s="102"/>
      <c r="J273" s="102"/>
      <c r="K273" s="102"/>
      <c r="L273" s="102"/>
      <c r="M273" s="102"/>
    </row>
    <row r="274" spans="1:48" ht="12.75">
      <c r="A274" s="99" t="s">
        <v>62</v>
      </c>
      <c r="B274" s="99" t="s">
        <v>406</v>
      </c>
      <c r="C274" s="99" t="s">
        <v>471</v>
      </c>
      <c r="D274" s="99" t="s">
        <v>996</v>
      </c>
      <c r="E274" s="99" t="s">
        <v>1640</v>
      </c>
      <c r="F274" s="100">
        <v>34.84</v>
      </c>
      <c r="G274" s="100">
        <v>0</v>
      </c>
      <c r="H274" s="100">
        <f>F274*AE274</f>
        <v>0</v>
      </c>
      <c r="I274" s="100">
        <f>J274-H274</f>
        <v>0</v>
      </c>
      <c r="J274" s="100">
        <f>F274*G274</f>
        <v>0</v>
      </c>
      <c r="K274" s="100">
        <v>0.00367</v>
      </c>
      <c r="L274" s="100">
        <f>F274*K274</f>
        <v>0.12786280000000003</v>
      </c>
      <c r="M274" s="101" t="s">
        <v>1667</v>
      </c>
      <c r="P274" s="14">
        <f>IF(AG274="5",J274,0)</f>
        <v>0</v>
      </c>
      <c r="R274" s="14">
        <f>IF(AG274="1",H274,0)</f>
        <v>0</v>
      </c>
      <c r="S274" s="14">
        <f>IF(AG274="1",I274,0)</f>
        <v>0</v>
      </c>
      <c r="T274" s="14">
        <f>IF(AG274="7",H274,0)</f>
        <v>0</v>
      </c>
      <c r="U274" s="14">
        <f>IF(AG274="7",I274,0)</f>
        <v>0</v>
      </c>
      <c r="V274" s="14">
        <f>IF(AG274="2",H274,0)</f>
        <v>0</v>
      </c>
      <c r="W274" s="14">
        <f>IF(AG274="2",I274,0)</f>
        <v>0</v>
      </c>
      <c r="X274" s="14">
        <f>IF(AG274="0",J274,0)</f>
        <v>0</v>
      </c>
      <c r="Y274" s="8" t="s">
        <v>406</v>
      </c>
      <c r="Z274" s="5">
        <f>IF(AD274=0,J274,0)</f>
        <v>0</v>
      </c>
      <c r="AA274" s="5">
        <f>IF(AD274=15,J274,0)</f>
        <v>0</v>
      </c>
      <c r="AB274" s="5">
        <f>IF(AD274=21,J274,0)</f>
        <v>0</v>
      </c>
      <c r="AD274" s="14">
        <v>15</v>
      </c>
      <c r="AE274" s="14">
        <f>G274*0.283412073490814</f>
        <v>0</v>
      </c>
      <c r="AF274" s="14">
        <f>G274*(1-0.283412073490814)</f>
        <v>0</v>
      </c>
      <c r="AG274" s="10" t="s">
        <v>7</v>
      </c>
      <c r="AM274" s="14">
        <f>F274*AE274</f>
        <v>0</v>
      </c>
      <c r="AN274" s="14">
        <f>F274*AF274</f>
        <v>0</v>
      </c>
      <c r="AO274" s="15" t="s">
        <v>1690</v>
      </c>
      <c r="AP274" s="15" t="s">
        <v>1730</v>
      </c>
      <c r="AQ274" s="8" t="s">
        <v>1769</v>
      </c>
      <c r="AS274" s="14">
        <f>AM274+AN274</f>
        <v>0</v>
      </c>
      <c r="AT274" s="14">
        <f>G274/(100-AU274)*100</f>
        <v>0</v>
      </c>
      <c r="AU274" s="14">
        <v>0</v>
      </c>
      <c r="AV274" s="14">
        <f>L274</f>
        <v>0.12786280000000003</v>
      </c>
    </row>
    <row r="275" spans="1:13" ht="12.75">
      <c r="A275" s="102"/>
      <c r="B275" s="102"/>
      <c r="C275" s="102"/>
      <c r="D275" s="103" t="s">
        <v>997</v>
      </c>
      <c r="E275" s="102"/>
      <c r="F275" s="104">
        <v>5.55</v>
      </c>
      <c r="G275" s="102"/>
      <c r="H275" s="102"/>
      <c r="I275" s="102"/>
      <c r="J275" s="102"/>
      <c r="K275" s="102"/>
      <c r="L275" s="102"/>
      <c r="M275" s="102"/>
    </row>
    <row r="276" spans="1:13" ht="12.75">
      <c r="A276" s="102"/>
      <c r="B276" s="102"/>
      <c r="C276" s="102"/>
      <c r="D276" s="103" t="s">
        <v>998</v>
      </c>
      <c r="E276" s="102"/>
      <c r="F276" s="104">
        <v>0</v>
      </c>
      <c r="G276" s="102"/>
      <c r="H276" s="102"/>
      <c r="I276" s="102"/>
      <c r="J276" s="102"/>
      <c r="K276" s="102"/>
      <c r="L276" s="102"/>
      <c r="M276" s="102"/>
    </row>
    <row r="277" spans="1:13" ht="12.75">
      <c r="A277" s="102"/>
      <c r="B277" s="102"/>
      <c r="C277" s="102"/>
      <c r="D277" s="103" t="s">
        <v>999</v>
      </c>
      <c r="E277" s="102"/>
      <c r="F277" s="104">
        <v>6.61</v>
      </c>
      <c r="G277" s="102"/>
      <c r="H277" s="102"/>
      <c r="I277" s="102"/>
      <c r="J277" s="102"/>
      <c r="K277" s="102"/>
      <c r="L277" s="102"/>
      <c r="M277" s="102"/>
    </row>
    <row r="278" spans="1:13" ht="12.75">
      <c r="A278" s="102"/>
      <c r="B278" s="102"/>
      <c r="C278" s="102"/>
      <c r="D278" s="103" t="s">
        <v>1000</v>
      </c>
      <c r="E278" s="102"/>
      <c r="F278" s="104">
        <v>3.71</v>
      </c>
      <c r="G278" s="102"/>
      <c r="H278" s="102"/>
      <c r="I278" s="102"/>
      <c r="J278" s="102"/>
      <c r="K278" s="102"/>
      <c r="L278" s="102"/>
      <c r="M278" s="102"/>
    </row>
    <row r="279" spans="1:13" ht="12.75">
      <c r="A279" s="102"/>
      <c r="B279" s="102"/>
      <c r="C279" s="102"/>
      <c r="D279" s="103" t="s">
        <v>1001</v>
      </c>
      <c r="E279" s="102"/>
      <c r="F279" s="104">
        <v>1.87</v>
      </c>
      <c r="G279" s="102"/>
      <c r="H279" s="102"/>
      <c r="I279" s="102"/>
      <c r="J279" s="102"/>
      <c r="K279" s="102"/>
      <c r="L279" s="102"/>
      <c r="M279" s="102"/>
    </row>
    <row r="280" spans="1:13" ht="12.75">
      <c r="A280" s="102"/>
      <c r="B280" s="102"/>
      <c r="C280" s="102"/>
      <c r="D280" s="103" t="s">
        <v>1002</v>
      </c>
      <c r="E280" s="102"/>
      <c r="F280" s="104">
        <v>11.09</v>
      </c>
      <c r="G280" s="102"/>
      <c r="H280" s="102"/>
      <c r="I280" s="102"/>
      <c r="J280" s="102"/>
      <c r="K280" s="102"/>
      <c r="L280" s="102"/>
      <c r="M280" s="102"/>
    </row>
    <row r="281" spans="1:13" ht="12.75">
      <c r="A281" s="102"/>
      <c r="B281" s="102"/>
      <c r="C281" s="102"/>
      <c r="D281" s="103" t="s">
        <v>1003</v>
      </c>
      <c r="E281" s="102"/>
      <c r="F281" s="104">
        <v>6.01</v>
      </c>
      <c r="G281" s="102"/>
      <c r="H281" s="102"/>
      <c r="I281" s="102"/>
      <c r="J281" s="102"/>
      <c r="K281" s="102"/>
      <c r="L281" s="102"/>
      <c r="M281" s="102"/>
    </row>
    <row r="282" spans="1:48" ht="12.75">
      <c r="A282" s="99" t="s">
        <v>63</v>
      </c>
      <c r="B282" s="99" t="s">
        <v>406</v>
      </c>
      <c r="C282" s="99" t="s">
        <v>472</v>
      </c>
      <c r="D282" s="99" t="s">
        <v>1004</v>
      </c>
      <c r="E282" s="99" t="s">
        <v>1640</v>
      </c>
      <c r="F282" s="100">
        <v>67.8</v>
      </c>
      <c r="G282" s="100">
        <v>0</v>
      </c>
      <c r="H282" s="100">
        <f>F282*AE282</f>
        <v>0</v>
      </c>
      <c r="I282" s="100">
        <f>J282-H282</f>
        <v>0</v>
      </c>
      <c r="J282" s="100">
        <f>F282*G282</f>
        <v>0</v>
      </c>
      <c r="K282" s="100">
        <v>0.01313</v>
      </c>
      <c r="L282" s="100">
        <f>F282*K282</f>
        <v>0.890214</v>
      </c>
      <c r="M282" s="101" t="s">
        <v>1667</v>
      </c>
      <c r="P282" s="14">
        <f>IF(AG282="5",J282,0)</f>
        <v>0</v>
      </c>
      <c r="R282" s="14">
        <f>IF(AG282="1",H282,0)</f>
        <v>0</v>
      </c>
      <c r="S282" s="14">
        <f>IF(AG282="1",I282,0)</f>
        <v>0</v>
      </c>
      <c r="T282" s="14">
        <f>IF(AG282="7",H282,0)</f>
        <v>0</v>
      </c>
      <c r="U282" s="14">
        <f>IF(AG282="7",I282,0)</f>
        <v>0</v>
      </c>
      <c r="V282" s="14">
        <f>IF(AG282="2",H282,0)</f>
        <v>0</v>
      </c>
      <c r="W282" s="14">
        <f>IF(AG282="2",I282,0)</f>
        <v>0</v>
      </c>
      <c r="X282" s="14">
        <f>IF(AG282="0",J282,0)</f>
        <v>0</v>
      </c>
      <c r="Y282" s="8" t="s">
        <v>406</v>
      </c>
      <c r="Z282" s="5">
        <f>IF(AD282=0,J282,0)</f>
        <v>0</v>
      </c>
      <c r="AA282" s="5">
        <f>IF(AD282=15,J282,0)</f>
        <v>0</v>
      </c>
      <c r="AB282" s="5">
        <f>IF(AD282=21,J282,0)</f>
        <v>0</v>
      </c>
      <c r="AD282" s="14">
        <v>15</v>
      </c>
      <c r="AE282" s="14">
        <f>G282*0.334773926261512</f>
        <v>0</v>
      </c>
      <c r="AF282" s="14">
        <f>G282*(1-0.334773926261512)</f>
        <v>0</v>
      </c>
      <c r="AG282" s="10" t="s">
        <v>7</v>
      </c>
      <c r="AM282" s="14">
        <f>F282*AE282</f>
        <v>0</v>
      </c>
      <c r="AN282" s="14">
        <f>F282*AF282</f>
        <v>0</v>
      </c>
      <c r="AO282" s="15" t="s">
        <v>1690</v>
      </c>
      <c r="AP282" s="15" t="s">
        <v>1730</v>
      </c>
      <c r="AQ282" s="8" t="s">
        <v>1769</v>
      </c>
      <c r="AS282" s="14">
        <f>AM282+AN282</f>
        <v>0</v>
      </c>
      <c r="AT282" s="14">
        <f>G282/(100-AU282)*100</f>
        <v>0</v>
      </c>
      <c r="AU282" s="14">
        <v>0</v>
      </c>
      <c r="AV282" s="14">
        <f>L282</f>
        <v>0.890214</v>
      </c>
    </row>
    <row r="283" spans="1:13" ht="12.75">
      <c r="A283" s="102"/>
      <c r="B283" s="102"/>
      <c r="C283" s="102"/>
      <c r="D283" s="103" t="s">
        <v>1005</v>
      </c>
      <c r="E283" s="102"/>
      <c r="F283" s="104">
        <v>67.8</v>
      </c>
      <c r="G283" s="102"/>
      <c r="H283" s="102"/>
      <c r="I283" s="102"/>
      <c r="J283" s="102"/>
      <c r="K283" s="102"/>
      <c r="L283" s="102"/>
      <c r="M283" s="102"/>
    </row>
    <row r="284" spans="1:48" ht="12.75">
      <c r="A284" s="99" t="s">
        <v>64</v>
      </c>
      <c r="B284" s="99" t="s">
        <v>406</v>
      </c>
      <c r="C284" s="99" t="s">
        <v>473</v>
      </c>
      <c r="D284" s="99" t="s">
        <v>1006</v>
      </c>
      <c r="E284" s="99" t="s">
        <v>1640</v>
      </c>
      <c r="F284" s="100">
        <v>67.8</v>
      </c>
      <c r="G284" s="100">
        <v>0</v>
      </c>
      <c r="H284" s="100">
        <f>F284*AE284</f>
        <v>0</v>
      </c>
      <c r="I284" s="100">
        <f>J284-H284</f>
        <v>0</v>
      </c>
      <c r="J284" s="100">
        <f>F284*G284</f>
        <v>0</v>
      </c>
      <c r="K284" s="100">
        <v>0.00411</v>
      </c>
      <c r="L284" s="100">
        <f>F284*K284</f>
        <v>0.27865799999999996</v>
      </c>
      <c r="M284" s="101" t="s">
        <v>1667</v>
      </c>
      <c r="P284" s="14">
        <f>IF(AG284="5",J284,0)</f>
        <v>0</v>
      </c>
      <c r="R284" s="14">
        <f>IF(AG284="1",H284,0)</f>
        <v>0</v>
      </c>
      <c r="S284" s="14">
        <f>IF(AG284="1",I284,0)</f>
        <v>0</v>
      </c>
      <c r="T284" s="14">
        <f>IF(AG284="7",H284,0)</f>
        <v>0</v>
      </c>
      <c r="U284" s="14">
        <f>IF(AG284="7",I284,0)</f>
        <v>0</v>
      </c>
      <c r="V284" s="14">
        <f>IF(AG284="2",H284,0)</f>
        <v>0</v>
      </c>
      <c r="W284" s="14">
        <f>IF(AG284="2",I284,0)</f>
        <v>0</v>
      </c>
      <c r="X284" s="14">
        <f>IF(AG284="0",J284,0)</f>
        <v>0</v>
      </c>
      <c r="Y284" s="8" t="s">
        <v>406</v>
      </c>
      <c r="Z284" s="5">
        <f>IF(AD284=0,J284,0)</f>
        <v>0</v>
      </c>
      <c r="AA284" s="5">
        <f>IF(AD284=15,J284,0)</f>
        <v>0</v>
      </c>
      <c r="AB284" s="5">
        <f>IF(AD284=21,J284,0)</f>
        <v>0</v>
      </c>
      <c r="AD284" s="14">
        <v>15</v>
      </c>
      <c r="AE284" s="14">
        <f>G284*0.263207201335994</f>
        <v>0</v>
      </c>
      <c r="AF284" s="14">
        <f>G284*(1-0.263207201335994)</f>
        <v>0</v>
      </c>
      <c r="AG284" s="10" t="s">
        <v>7</v>
      </c>
      <c r="AM284" s="14">
        <f>F284*AE284</f>
        <v>0</v>
      </c>
      <c r="AN284" s="14">
        <f>F284*AF284</f>
        <v>0</v>
      </c>
      <c r="AO284" s="15" t="s">
        <v>1690</v>
      </c>
      <c r="AP284" s="15" t="s">
        <v>1730</v>
      </c>
      <c r="AQ284" s="8" t="s">
        <v>1769</v>
      </c>
      <c r="AS284" s="14">
        <f>AM284+AN284</f>
        <v>0</v>
      </c>
      <c r="AT284" s="14">
        <f>G284/(100-AU284)*100</f>
        <v>0</v>
      </c>
      <c r="AU284" s="14">
        <v>0</v>
      </c>
      <c r="AV284" s="14">
        <f>L284</f>
        <v>0.27865799999999996</v>
      </c>
    </row>
    <row r="285" spans="1:13" ht="12.75">
      <c r="A285" s="102"/>
      <c r="B285" s="102"/>
      <c r="C285" s="102"/>
      <c r="D285" s="103" t="s">
        <v>1007</v>
      </c>
      <c r="E285" s="102"/>
      <c r="F285" s="104">
        <v>67.8</v>
      </c>
      <c r="G285" s="102"/>
      <c r="H285" s="102"/>
      <c r="I285" s="102"/>
      <c r="J285" s="102"/>
      <c r="K285" s="102"/>
      <c r="L285" s="102"/>
      <c r="M285" s="102"/>
    </row>
    <row r="286" spans="1:37" ht="12.75">
      <c r="A286" s="93"/>
      <c r="B286" s="94" t="s">
        <v>406</v>
      </c>
      <c r="C286" s="94" t="s">
        <v>68</v>
      </c>
      <c r="D286" s="95" t="s">
        <v>1008</v>
      </c>
      <c r="E286" s="96"/>
      <c r="F286" s="96"/>
      <c r="G286" s="96"/>
      <c r="H286" s="97">
        <f>SUM(H287:H291)</f>
        <v>0</v>
      </c>
      <c r="I286" s="97">
        <f>SUM(I287:I291)</f>
        <v>0</v>
      </c>
      <c r="J286" s="97">
        <f>H286+I286</f>
        <v>0</v>
      </c>
      <c r="K286" s="98"/>
      <c r="L286" s="97">
        <f>SUM(L287:L291)</f>
        <v>0.013075199999999999</v>
      </c>
      <c r="M286" s="98"/>
      <c r="Y286" s="8" t="s">
        <v>406</v>
      </c>
      <c r="AI286" s="16">
        <f>SUM(Z287:Z291)</f>
        <v>0</v>
      </c>
      <c r="AJ286" s="16">
        <f>SUM(AA287:AA291)</f>
        <v>0</v>
      </c>
      <c r="AK286" s="16">
        <f>SUM(AB287:AB291)</f>
        <v>0</v>
      </c>
    </row>
    <row r="287" spans="1:48" ht="12.75">
      <c r="A287" s="99" t="s">
        <v>65</v>
      </c>
      <c r="B287" s="99" t="s">
        <v>406</v>
      </c>
      <c r="C287" s="99" t="s">
        <v>474</v>
      </c>
      <c r="D287" s="99" t="s">
        <v>996</v>
      </c>
      <c r="E287" s="99" t="s">
        <v>1640</v>
      </c>
      <c r="F287" s="100">
        <v>1.92</v>
      </c>
      <c r="G287" s="100">
        <v>0</v>
      </c>
      <c r="H287" s="100">
        <f>F287*AE287</f>
        <v>0</v>
      </c>
      <c r="I287" s="100">
        <f>J287-H287</f>
        <v>0</v>
      </c>
      <c r="J287" s="100">
        <f>F287*G287</f>
        <v>0</v>
      </c>
      <c r="K287" s="100">
        <v>0.00367</v>
      </c>
      <c r="L287" s="100">
        <f>F287*K287</f>
        <v>0.0070463999999999995</v>
      </c>
      <c r="M287" s="101" t="s">
        <v>1667</v>
      </c>
      <c r="P287" s="14">
        <f>IF(AG287="5",J287,0)</f>
        <v>0</v>
      </c>
      <c r="R287" s="14">
        <f>IF(AG287="1",H287,0)</f>
        <v>0</v>
      </c>
      <c r="S287" s="14">
        <f>IF(AG287="1",I287,0)</f>
        <v>0</v>
      </c>
      <c r="T287" s="14">
        <f>IF(AG287="7",H287,0)</f>
        <v>0</v>
      </c>
      <c r="U287" s="14">
        <f>IF(AG287="7",I287,0)</f>
        <v>0</v>
      </c>
      <c r="V287" s="14">
        <f>IF(AG287="2",H287,0)</f>
        <v>0</v>
      </c>
      <c r="W287" s="14">
        <f>IF(AG287="2",I287,0)</f>
        <v>0</v>
      </c>
      <c r="X287" s="14">
        <f>IF(AG287="0",J287,0)</f>
        <v>0</v>
      </c>
      <c r="Y287" s="8" t="s">
        <v>406</v>
      </c>
      <c r="Z287" s="5">
        <f>IF(AD287=0,J287,0)</f>
        <v>0</v>
      </c>
      <c r="AA287" s="5">
        <f>IF(AD287=15,J287,0)</f>
        <v>0</v>
      </c>
      <c r="AB287" s="5">
        <f>IF(AD287=21,J287,0)</f>
        <v>0</v>
      </c>
      <c r="AD287" s="14">
        <v>15</v>
      </c>
      <c r="AE287" s="14">
        <f>G287*0.283412073490814</f>
        <v>0</v>
      </c>
      <c r="AF287" s="14">
        <f>G287*(1-0.283412073490814)</f>
        <v>0</v>
      </c>
      <c r="AG287" s="10" t="s">
        <v>7</v>
      </c>
      <c r="AM287" s="14">
        <f>F287*AE287</f>
        <v>0</v>
      </c>
      <c r="AN287" s="14">
        <f>F287*AF287</f>
        <v>0</v>
      </c>
      <c r="AO287" s="15" t="s">
        <v>1691</v>
      </c>
      <c r="AP287" s="15" t="s">
        <v>1730</v>
      </c>
      <c r="AQ287" s="8" t="s">
        <v>1769</v>
      </c>
      <c r="AS287" s="14">
        <f>AM287+AN287</f>
        <v>0</v>
      </c>
      <c r="AT287" s="14">
        <f>G287/(100-AU287)*100</f>
        <v>0</v>
      </c>
      <c r="AU287" s="14">
        <v>0</v>
      </c>
      <c r="AV287" s="14">
        <f>L287</f>
        <v>0.0070463999999999995</v>
      </c>
    </row>
    <row r="288" spans="1:13" ht="12.75">
      <c r="A288" s="102"/>
      <c r="B288" s="102"/>
      <c r="C288" s="102"/>
      <c r="D288" s="103" t="s">
        <v>1009</v>
      </c>
      <c r="E288" s="102"/>
      <c r="F288" s="104">
        <v>1.92</v>
      </c>
      <c r="G288" s="102"/>
      <c r="H288" s="102"/>
      <c r="I288" s="102"/>
      <c r="J288" s="102"/>
      <c r="K288" s="102"/>
      <c r="L288" s="102"/>
      <c r="M288" s="102"/>
    </row>
    <row r="289" spans="1:48" ht="12.75">
      <c r="A289" s="99" t="s">
        <v>66</v>
      </c>
      <c r="B289" s="99" t="s">
        <v>406</v>
      </c>
      <c r="C289" s="99" t="s">
        <v>475</v>
      </c>
      <c r="D289" s="99" t="s">
        <v>1010</v>
      </c>
      <c r="E289" s="99" t="s">
        <v>1640</v>
      </c>
      <c r="F289" s="100">
        <v>1.92</v>
      </c>
      <c r="G289" s="100">
        <v>0</v>
      </c>
      <c r="H289" s="100">
        <f>F289*AE289</f>
        <v>0</v>
      </c>
      <c r="I289" s="100">
        <f>J289-H289</f>
        <v>0</v>
      </c>
      <c r="J289" s="100">
        <f>F289*G289</f>
        <v>0</v>
      </c>
      <c r="K289" s="100">
        <v>0.00284</v>
      </c>
      <c r="L289" s="100">
        <f>F289*K289</f>
        <v>0.0054528</v>
      </c>
      <c r="M289" s="101" t="s">
        <v>1667</v>
      </c>
      <c r="P289" s="14">
        <f>IF(AG289="5",J289,0)</f>
        <v>0</v>
      </c>
      <c r="R289" s="14">
        <f>IF(AG289="1",H289,0)</f>
        <v>0</v>
      </c>
      <c r="S289" s="14">
        <f>IF(AG289="1",I289,0)</f>
        <v>0</v>
      </c>
      <c r="T289" s="14">
        <f>IF(AG289="7",H289,0)</f>
        <v>0</v>
      </c>
      <c r="U289" s="14">
        <f>IF(AG289="7",I289,0)</f>
        <v>0</v>
      </c>
      <c r="V289" s="14">
        <f>IF(AG289="2",H289,0)</f>
        <v>0</v>
      </c>
      <c r="W289" s="14">
        <f>IF(AG289="2",I289,0)</f>
        <v>0</v>
      </c>
      <c r="X289" s="14">
        <f>IF(AG289="0",J289,0)</f>
        <v>0</v>
      </c>
      <c r="Y289" s="8" t="s">
        <v>406</v>
      </c>
      <c r="Z289" s="5">
        <f>IF(AD289=0,J289,0)</f>
        <v>0</v>
      </c>
      <c r="AA289" s="5">
        <f>IF(AD289=15,J289,0)</f>
        <v>0</v>
      </c>
      <c r="AB289" s="5">
        <f>IF(AD289=21,J289,0)</f>
        <v>0</v>
      </c>
      <c r="AD289" s="14">
        <v>15</v>
      </c>
      <c r="AE289" s="14">
        <f>G289*0.580886917960089</f>
        <v>0</v>
      </c>
      <c r="AF289" s="14">
        <f>G289*(1-0.580886917960089)</f>
        <v>0</v>
      </c>
      <c r="AG289" s="10" t="s">
        <v>7</v>
      </c>
      <c r="AM289" s="14">
        <f>F289*AE289</f>
        <v>0</v>
      </c>
      <c r="AN289" s="14">
        <f>F289*AF289</f>
        <v>0</v>
      </c>
      <c r="AO289" s="15" t="s">
        <v>1691</v>
      </c>
      <c r="AP289" s="15" t="s">
        <v>1730</v>
      </c>
      <c r="AQ289" s="8" t="s">
        <v>1769</v>
      </c>
      <c r="AS289" s="14">
        <f>AM289+AN289</f>
        <v>0</v>
      </c>
      <c r="AT289" s="14">
        <f>G289/(100-AU289)*100</f>
        <v>0</v>
      </c>
      <c r="AU289" s="14">
        <v>0</v>
      </c>
      <c r="AV289" s="14">
        <f>L289</f>
        <v>0.0054528</v>
      </c>
    </row>
    <row r="290" spans="1:13" ht="12.75">
      <c r="A290" s="102"/>
      <c r="B290" s="102"/>
      <c r="C290" s="102"/>
      <c r="D290" s="103" t="s">
        <v>1011</v>
      </c>
      <c r="E290" s="102"/>
      <c r="F290" s="104">
        <v>1.92</v>
      </c>
      <c r="G290" s="102"/>
      <c r="H290" s="102"/>
      <c r="I290" s="102"/>
      <c r="J290" s="102"/>
      <c r="K290" s="102"/>
      <c r="L290" s="102"/>
      <c r="M290" s="102"/>
    </row>
    <row r="291" spans="1:48" ht="12.75">
      <c r="A291" s="99" t="s">
        <v>67</v>
      </c>
      <c r="B291" s="99" t="s">
        <v>406</v>
      </c>
      <c r="C291" s="99" t="s">
        <v>476</v>
      </c>
      <c r="D291" s="99" t="s">
        <v>1012</v>
      </c>
      <c r="E291" s="99" t="s">
        <v>1640</v>
      </c>
      <c r="F291" s="100">
        <v>1.92</v>
      </c>
      <c r="G291" s="100">
        <v>0</v>
      </c>
      <c r="H291" s="100">
        <f>F291*AE291</f>
        <v>0</v>
      </c>
      <c r="I291" s="100">
        <f>J291-H291</f>
        <v>0</v>
      </c>
      <c r="J291" s="100">
        <f>F291*G291</f>
        <v>0</v>
      </c>
      <c r="K291" s="100">
        <v>0.0003</v>
      </c>
      <c r="L291" s="100">
        <f>F291*K291</f>
        <v>0.0005759999999999999</v>
      </c>
      <c r="M291" s="101" t="s">
        <v>1667</v>
      </c>
      <c r="P291" s="14">
        <f>IF(AG291="5",J291,0)</f>
        <v>0</v>
      </c>
      <c r="R291" s="14">
        <f>IF(AG291="1",H291,0)</f>
        <v>0</v>
      </c>
      <c r="S291" s="14">
        <f>IF(AG291="1",I291,0)</f>
        <v>0</v>
      </c>
      <c r="T291" s="14">
        <f>IF(AG291="7",H291,0)</f>
        <v>0</v>
      </c>
      <c r="U291" s="14">
        <f>IF(AG291="7",I291,0)</f>
        <v>0</v>
      </c>
      <c r="V291" s="14">
        <f>IF(AG291="2",H291,0)</f>
        <v>0</v>
      </c>
      <c r="W291" s="14">
        <f>IF(AG291="2",I291,0)</f>
        <v>0</v>
      </c>
      <c r="X291" s="14">
        <f>IF(AG291="0",J291,0)</f>
        <v>0</v>
      </c>
      <c r="Y291" s="8" t="s">
        <v>406</v>
      </c>
      <c r="Z291" s="5">
        <f>IF(AD291=0,J291,0)</f>
        <v>0</v>
      </c>
      <c r="AA291" s="5">
        <f>IF(AD291=15,J291,0)</f>
        <v>0</v>
      </c>
      <c r="AB291" s="5">
        <f>IF(AD291=21,J291,0)</f>
        <v>0</v>
      </c>
      <c r="AD291" s="14">
        <v>15</v>
      </c>
      <c r="AE291" s="14">
        <f>G291*0.448604651162791</f>
        <v>0</v>
      </c>
      <c r="AF291" s="14">
        <f>G291*(1-0.448604651162791)</f>
        <v>0</v>
      </c>
      <c r="AG291" s="10" t="s">
        <v>7</v>
      </c>
      <c r="AM291" s="14">
        <f>F291*AE291</f>
        <v>0</v>
      </c>
      <c r="AN291" s="14">
        <f>F291*AF291</f>
        <v>0</v>
      </c>
      <c r="AO291" s="15" t="s">
        <v>1691</v>
      </c>
      <c r="AP291" s="15" t="s">
        <v>1730</v>
      </c>
      <c r="AQ291" s="8" t="s">
        <v>1769</v>
      </c>
      <c r="AS291" s="14">
        <f>AM291+AN291</f>
        <v>0</v>
      </c>
      <c r="AT291" s="14">
        <f>G291/(100-AU291)*100</f>
        <v>0</v>
      </c>
      <c r="AU291" s="14">
        <v>0</v>
      </c>
      <c r="AV291" s="14">
        <f>L291</f>
        <v>0.0005759999999999999</v>
      </c>
    </row>
    <row r="292" spans="1:37" ht="12.75">
      <c r="A292" s="93"/>
      <c r="B292" s="94" t="s">
        <v>406</v>
      </c>
      <c r="C292" s="94" t="s">
        <v>69</v>
      </c>
      <c r="D292" s="95" t="s">
        <v>1013</v>
      </c>
      <c r="E292" s="96"/>
      <c r="F292" s="96"/>
      <c r="G292" s="96"/>
      <c r="H292" s="97">
        <f>SUM(H293:H310)</f>
        <v>0</v>
      </c>
      <c r="I292" s="97">
        <f>SUM(I293:I310)</f>
        <v>0</v>
      </c>
      <c r="J292" s="97">
        <f>H292+I292</f>
        <v>0</v>
      </c>
      <c r="K292" s="98"/>
      <c r="L292" s="97">
        <f>SUM(L293:L310)</f>
        <v>22.712479000000002</v>
      </c>
      <c r="M292" s="98"/>
      <c r="Y292" s="8" t="s">
        <v>406</v>
      </c>
      <c r="AI292" s="16">
        <f>SUM(Z293:Z310)</f>
        <v>0</v>
      </c>
      <c r="AJ292" s="16">
        <f>SUM(AA293:AA310)</f>
        <v>0</v>
      </c>
      <c r="AK292" s="16">
        <f>SUM(AB293:AB310)</f>
        <v>0</v>
      </c>
    </row>
    <row r="293" spans="1:48" ht="12.75">
      <c r="A293" s="99" t="s">
        <v>68</v>
      </c>
      <c r="B293" s="99" t="s">
        <v>406</v>
      </c>
      <c r="C293" s="99" t="s">
        <v>477</v>
      </c>
      <c r="D293" s="99" t="s">
        <v>1014</v>
      </c>
      <c r="E293" s="99" t="s">
        <v>1640</v>
      </c>
      <c r="F293" s="100">
        <v>127.6</v>
      </c>
      <c r="G293" s="100">
        <v>0</v>
      </c>
      <c r="H293" s="100">
        <f>F293*AE293</f>
        <v>0</v>
      </c>
      <c r="I293" s="100">
        <f>J293-H293</f>
        <v>0</v>
      </c>
      <c r="J293" s="100">
        <f>F293*G293</f>
        <v>0</v>
      </c>
      <c r="K293" s="100">
        <v>0.00714</v>
      </c>
      <c r="L293" s="100">
        <f>F293*K293</f>
        <v>0.9110639999999999</v>
      </c>
      <c r="M293" s="101" t="s">
        <v>1667</v>
      </c>
      <c r="P293" s="14">
        <f>IF(AG293="5",J293,0)</f>
        <v>0</v>
      </c>
      <c r="R293" s="14">
        <f>IF(AG293="1",H293,0)</f>
        <v>0</v>
      </c>
      <c r="S293" s="14">
        <f>IF(AG293="1",I293,0)</f>
        <v>0</v>
      </c>
      <c r="T293" s="14">
        <f>IF(AG293="7",H293,0)</f>
        <v>0</v>
      </c>
      <c r="U293" s="14">
        <f>IF(AG293="7",I293,0)</f>
        <v>0</v>
      </c>
      <c r="V293" s="14">
        <f>IF(AG293="2",H293,0)</f>
        <v>0</v>
      </c>
      <c r="W293" s="14">
        <f>IF(AG293="2",I293,0)</f>
        <v>0</v>
      </c>
      <c r="X293" s="14">
        <f>IF(AG293="0",J293,0)</f>
        <v>0</v>
      </c>
      <c r="Y293" s="8" t="s">
        <v>406</v>
      </c>
      <c r="Z293" s="5">
        <f>IF(AD293=0,J293,0)</f>
        <v>0</v>
      </c>
      <c r="AA293" s="5">
        <f>IF(AD293=15,J293,0)</f>
        <v>0</v>
      </c>
      <c r="AB293" s="5">
        <f>IF(AD293=21,J293,0)</f>
        <v>0</v>
      </c>
      <c r="AD293" s="14">
        <v>15</v>
      </c>
      <c r="AE293" s="14">
        <f>G293*0.61688995215311</f>
        <v>0</v>
      </c>
      <c r="AF293" s="14">
        <f>G293*(1-0.61688995215311)</f>
        <v>0</v>
      </c>
      <c r="AG293" s="10" t="s">
        <v>7</v>
      </c>
      <c r="AM293" s="14">
        <f>F293*AE293</f>
        <v>0</v>
      </c>
      <c r="AN293" s="14">
        <f>F293*AF293</f>
        <v>0</v>
      </c>
      <c r="AO293" s="15" t="s">
        <v>1692</v>
      </c>
      <c r="AP293" s="15" t="s">
        <v>1730</v>
      </c>
      <c r="AQ293" s="8" t="s">
        <v>1769</v>
      </c>
      <c r="AS293" s="14">
        <f>AM293+AN293</f>
        <v>0</v>
      </c>
      <c r="AT293" s="14">
        <f>G293/(100-AU293)*100</f>
        <v>0</v>
      </c>
      <c r="AU293" s="14">
        <v>0</v>
      </c>
      <c r="AV293" s="14">
        <f>L293</f>
        <v>0.9110639999999999</v>
      </c>
    </row>
    <row r="294" spans="1:13" ht="12.75">
      <c r="A294" s="102"/>
      <c r="B294" s="102"/>
      <c r="C294" s="102"/>
      <c r="D294" s="103" t="s">
        <v>1015</v>
      </c>
      <c r="E294" s="102"/>
      <c r="F294" s="104">
        <v>127.6</v>
      </c>
      <c r="G294" s="102"/>
      <c r="H294" s="102"/>
      <c r="I294" s="102"/>
      <c r="J294" s="102"/>
      <c r="K294" s="102"/>
      <c r="L294" s="102"/>
      <c r="M294" s="102"/>
    </row>
    <row r="295" spans="1:48" ht="12.75">
      <c r="A295" s="99" t="s">
        <v>69</v>
      </c>
      <c r="B295" s="99" t="s">
        <v>406</v>
      </c>
      <c r="C295" s="99" t="s">
        <v>478</v>
      </c>
      <c r="D295" s="99" t="s">
        <v>1016</v>
      </c>
      <c r="E295" s="99" t="s">
        <v>1640</v>
      </c>
      <c r="F295" s="100">
        <v>79.5</v>
      </c>
      <c r="G295" s="100">
        <v>0</v>
      </c>
      <c r="H295" s="100">
        <f>F295*AE295</f>
        <v>0</v>
      </c>
      <c r="I295" s="100">
        <f>J295-H295</f>
        <v>0</v>
      </c>
      <c r="J295" s="100">
        <f>F295*G295</f>
        <v>0</v>
      </c>
      <c r="K295" s="100">
        <v>0.1323</v>
      </c>
      <c r="L295" s="100">
        <f>F295*K295</f>
        <v>10.51785</v>
      </c>
      <c r="M295" s="101" t="s">
        <v>1667</v>
      </c>
      <c r="P295" s="14">
        <f>IF(AG295="5",J295,0)</f>
        <v>0</v>
      </c>
      <c r="R295" s="14">
        <f>IF(AG295="1",H295,0)</f>
        <v>0</v>
      </c>
      <c r="S295" s="14">
        <f>IF(AG295="1",I295,0)</f>
        <v>0</v>
      </c>
      <c r="T295" s="14">
        <f>IF(AG295="7",H295,0)</f>
        <v>0</v>
      </c>
      <c r="U295" s="14">
        <f>IF(AG295="7",I295,0)</f>
        <v>0</v>
      </c>
      <c r="V295" s="14">
        <f>IF(AG295="2",H295,0)</f>
        <v>0</v>
      </c>
      <c r="W295" s="14">
        <f>IF(AG295="2",I295,0)</f>
        <v>0</v>
      </c>
      <c r="X295" s="14">
        <f>IF(AG295="0",J295,0)</f>
        <v>0</v>
      </c>
      <c r="Y295" s="8" t="s">
        <v>406</v>
      </c>
      <c r="Z295" s="5">
        <f>IF(AD295=0,J295,0)</f>
        <v>0</v>
      </c>
      <c r="AA295" s="5">
        <f>IF(AD295=15,J295,0)</f>
        <v>0</v>
      </c>
      <c r="AB295" s="5">
        <f>IF(AD295=21,J295,0)</f>
        <v>0</v>
      </c>
      <c r="AD295" s="14">
        <v>15</v>
      </c>
      <c r="AE295" s="14">
        <f>G295*0.699043715846995</f>
        <v>0</v>
      </c>
      <c r="AF295" s="14">
        <f>G295*(1-0.699043715846995)</f>
        <v>0</v>
      </c>
      <c r="AG295" s="10" t="s">
        <v>7</v>
      </c>
      <c r="AM295" s="14">
        <f>F295*AE295</f>
        <v>0</v>
      </c>
      <c r="AN295" s="14">
        <f>F295*AF295</f>
        <v>0</v>
      </c>
      <c r="AO295" s="15" t="s">
        <v>1692</v>
      </c>
      <c r="AP295" s="15" t="s">
        <v>1730</v>
      </c>
      <c r="AQ295" s="8" t="s">
        <v>1769</v>
      </c>
      <c r="AS295" s="14">
        <f>AM295+AN295</f>
        <v>0</v>
      </c>
      <c r="AT295" s="14">
        <f>G295/(100-AU295)*100</f>
        <v>0</v>
      </c>
      <c r="AU295" s="14">
        <v>0</v>
      </c>
      <c r="AV295" s="14">
        <f>L295</f>
        <v>10.51785</v>
      </c>
    </row>
    <row r="296" spans="1:13" ht="12.75">
      <c r="A296" s="102"/>
      <c r="B296" s="102"/>
      <c r="C296" s="102"/>
      <c r="D296" s="103" t="s">
        <v>1017</v>
      </c>
      <c r="E296" s="102"/>
      <c r="F296" s="104">
        <v>73</v>
      </c>
      <c r="G296" s="102"/>
      <c r="H296" s="102"/>
      <c r="I296" s="102"/>
      <c r="J296" s="102"/>
      <c r="K296" s="102"/>
      <c r="L296" s="102"/>
      <c r="M296" s="102"/>
    </row>
    <row r="297" spans="1:13" ht="12.75">
      <c r="A297" s="102"/>
      <c r="B297" s="102"/>
      <c r="C297" s="102"/>
      <c r="D297" s="103" t="s">
        <v>1018</v>
      </c>
      <c r="E297" s="102"/>
      <c r="F297" s="104">
        <v>6.5</v>
      </c>
      <c r="G297" s="102"/>
      <c r="H297" s="102"/>
      <c r="I297" s="102"/>
      <c r="J297" s="102"/>
      <c r="K297" s="102"/>
      <c r="L297" s="102"/>
      <c r="M297" s="102"/>
    </row>
    <row r="298" spans="1:48" ht="12.75">
      <c r="A298" s="99" t="s">
        <v>70</v>
      </c>
      <c r="B298" s="99" t="s">
        <v>406</v>
      </c>
      <c r="C298" s="99" t="s">
        <v>479</v>
      </c>
      <c r="D298" s="99" t="s">
        <v>1019</v>
      </c>
      <c r="E298" s="99" t="s">
        <v>1640</v>
      </c>
      <c r="F298" s="100">
        <v>51</v>
      </c>
      <c r="G298" s="100">
        <v>0</v>
      </c>
      <c r="H298" s="100">
        <f>F298*AE298</f>
        <v>0</v>
      </c>
      <c r="I298" s="100">
        <f>J298-H298</f>
        <v>0</v>
      </c>
      <c r="J298" s="100">
        <f>F298*G298</f>
        <v>0</v>
      </c>
      <c r="K298" s="100">
        <v>0.1323</v>
      </c>
      <c r="L298" s="100">
        <f>F298*K298</f>
        <v>6.7473</v>
      </c>
      <c r="M298" s="101" t="s">
        <v>1667</v>
      </c>
      <c r="P298" s="14">
        <f>IF(AG298="5",J298,0)</f>
        <v>0</v>
      </c>
      <c r="R298" s="14">
        <f>IF(AG298="1",H298,0)</f>
        <v>0</v>
      </c>
      <c r="S298" s="14">
        <f>IF(AG298="1",I298,0)</f>
        <v>0</v>
      </c>
      <c r="T298" s="14">
        <f>IF(AG298="7",H298,0)</f>
        <v>0</v>
      </c>
      <c r="U298" s="14">
        <f>IF(AG298="7",I298,0)</f>
        <v>0</v>
      </c>
      <c r="V298" s="14">
        <f>IF(AG298="2",H298,0)</f>
        <v>0</v>
      </c>
      <c r="W298" s="14">
        <f>IF(AG298="2",I298,0)</f>
        <v>0</v>
      </c>
      <c r="X298" s="14">
        <f>IF(AG298="0",J298,0)</f>
        <v>0</v>
      </c>
      <c r="Y298" s="8" t="s">
        <v>406</v>
      </c>
      <c r="Z298" s="5">
        <f>IF(AD298=0,J298,0)</f>
        <v>0</v>
      </c>
      <c r="AA298" s="5">
        <f>IF(AD298=15,J298,0)</f>
        <v>0</v>
      </c>
      <c r="AB298" s="5">
        <f>IF(AD298=21,J298,0)</f>
        <v>0</v>
      </c>
      <c r="AD298" s="14">
        <v>15</v>
      </c>
      <c r="AE298" s="14">
        <f>G298*0.706945812807882</f>
        <v>0</v>
      </c>
      <c r="AF298" s="14">
        <f>G298*(1-0.706945812807882)</f>
        <v>0</v>
      </c>
      <c r="AG298" s="10" t="s">
        <v>7</v>
      </c>
      <c r="AM298" s="14">
        <f>F298*AE298</f>
        <v>0</v>
      </c>
      <c r="AN298" s="14">
        <f>F298*AF298</f>
        <v>0</v>
      </c>
      <c r="AO298" s="15" t="s">
        <v>1692</v>
      </c>
      <c r="AP298" s="15" t="s">
        <v>1730</v>
      </c>
      <c r="AQ298" s="8" t="s">
        <v>1769</v>
      </c>
      <c r="AS298" s="14">
        <f>AM298+AN298</f>
        <v>0</v>
      </c>
      <c r="AT298" s="14">
        <f>G298/(100-AU298)*100</f>
        <v>0</v>
      </c>
      <c r="AU298" s="14">
        <v>0</v>
      </c>
      <c r="AV298" s="14">
        <f>L298</f>
        <v>6.7473</v>
      </c>
    </row>
    <row r="299" spans="1:13" ht="12.75">
      <c r="A299" s="102"/>
      <c r="B299" s="102"/>
      <c r="C299" s="102"/>
      <c r="D299" s="103" t="s">
        <v>1020</v>
      </c>
      <c r="E299" s="102"/>
      <c r="F299" s="104">
        <v>3.2</v>
      </c>
      <c r="G299" s="102"/>
      <c r="H299" s="102"/>
      <c r="I299" s="102"/>
      <c r="J299" s="102"/>
      <c r="K299" s="102"/>
      <c r="L299" s="102"/>
      <c r="M299" s="102"/>
    </row>
    <row r="300" spans="1:13" ht="12.75">
      <c r="A300" s="102"/>
      <c r="B300" s="102"/>
      <c r="C300" s="102"/>
      <c r="D300" s="103" t="s">
        <v>1021</v>
      </c>
      <c r="E300" s="102"/>
      <c r="F300" s="104">
        <v>39</v>
      </c>
      <c r="G300" s="102"/>
      <c r="H300" s="102"/>
      <c r="I300" s="102"/>
      <c r="J300" s="102"/>
      <c r="K300" s="102"/>
      <c r="L300" s="102"/>
      <c r="M300" s="102"/>
    </row>
    <row r="301" spans="1:13" ht="12.75">
      <c r="A301" s="102"/>
      <c r="B301" s="102"/>
      <c r="C301" s="102"/>
      <c r="D301" s="103" t="s">
        <v>1022</v>
      </c>
      <c r="E301" s="102"/>
      <c r="F301" s="104">
        <v>8.8</v>
      </c>
      <c r="G301" s="102"/>
      <c r="H301" s="102"/>
      <c r="I301" s="102"/>
      <c r="J301" s="102"/>
      <c r="K301" s="102"/>
      <c r="L301" s="102"/>
      <c r="M301" s="102"/>
    </row>
    <row r="302" spans="1:48" ht="12.75">
      <c r="A302" s="99" t="s">
        <v>71</v>
      </c>
      <c r="B302" s="99" t="s">
        <v>406</v>
      </c>
      <c r="C302" s="99" t="s">
        <v>480</v>
      </c>
      <c r="D302" s="99" t="s">
        <v>1023</v>
      </c>
      <c r="E302" s="99" t="s">
        <v>1639</v>
      </c>
      <c r="F302" s="100">
        <v>1.06</v>
      </c>
      <c r="G302" s="100">
        <v>0</v>
      </c>
      <c r="H302" s="100">
        <f>F302*AE302</f>
        <v>0</v>
      </c>
      <c r="I302" s="100">
        <f>J302-H302</f>
        <v>0</v>
      </c>
      <c r="J302" s="100">
        <f>F302*G302</f>
        <v>0</v>
      </c>
      <c r="K302" s="100">
        <v>2.525</v>
      </c>
      <c r="L302" s="100">
        <f>F302*K302</f>
        <v>2.6765</v>
      </c>
      <c r="M302" s="101" t="s">
        <v>1667</v>
      </c>
      <c r="P302" s="14">
        <f>IF(AG302="5",J302,0)</f>
        <v>0</v>
      </c>
      <c r="R302" s="14">
        <f>IF(AG302="1",H302,0)</f>
        <v>0</v>
      </c>
      <c r="S302" s="14">
        <f>IF(AG302="1",I302,0)</f>
        <v>0</v>
      </c>
      <c r="T302" s="14">
        <f>IF(AG302="7",H302,0)</f>
        <v>0</v>
      </c>
      <c r="U302" s="14">
        <f>IF(AG302="7",I302,0)</f>
        <v>0</v>
      </c>
      <c r="V302" s="14">
        <f>IF(AG302="2",H302,0)</f>
        <v>0</v>
      </c>
      <c r="W302" s="14">
        <f>IF(AG302="2",I302,0)</f>
        <v>0</v>
      </c>
      <c r="X302" s="14">
        <f>IF(AG302="0",J302,0)</f>
        <v>0</v>
      </c>
      <c r="Y302" s="8" t="s">
        <v>406</v>
      </c>
      <c r="Z302" s="5">
        <f>IF(AD302=0,J302,0)</f>
        <v>0</v>
      </c>
      <c r="AA302" s="5">
        <f>IF(AD302=15,J302,0)</f>
        <v>0</v>
      </c>
      <c r="AB302" s="5">
        <f>IF(AD302=21,J302,0)</f>
        <v>0</v>
      </c>
      <c r="AD302" s="14">
        <v>15</v>
      </c>
      <c r="AE302" s="14">
        <f>G302*0.701682034976153</f>
        <v>0</v>
      </c>
      <c r="AF302" s="14">
        <f>G302*(1-0.701682034976153)</f>
        <v>0</v>
      </c>
      <c r="AG302" s="10" t="s">
        <v>7</v>
      </c>
      <c r="AM302" s="14">
        <f>F302*AE302</f>
        <v>0</v>
      </c>
      <c r="AN302" s="14">
        <f>F302*AF302</f>
        <v>0</v>
      </c>
      <c r="AO302" s="15" t="s">
        <v>1692</v>
      </c>
      <c r="AP302" s="15" t="s">
        <v>1730</v>
      </c>
      <c r="AQ302" s="8" t="s">
        <v>1769</v>
      </c>
      <c r="AS302" s="14">
        <f>AM302+AN302</f>
        <v>0</v>
      </c>
      <c r="AT302" s="14">
        <f>G302/(100-AU302)*100</f>
        <v>0</v>
      </c>
      <c r="AU302" s="14">
        <v>0</v>
      </c>
      <c r="AV302" s="14">
        <f>L302</f>
        <v>2.6765</v>
      </c>
    </row>
    <row r="303" spans="1:13" ht="12.75">
      <c r="A303" s="102"/>
      <c r="B303" s="102"/>
      <c r="C303" s="102"/>
      <c r="D303" s="103" t="s">
        <v>1024</v>
      </c>
      <c r="E303" s="102"/>
      <c r="F303" s="104">
        <v>1.06</v>
      </c>
      <c r="G303" s="102"/>
      <c r="H303" s="102"/>
      <c r="I303" s="102"/>
      <c r="J303" s="102"/>
      <c r="K303" s="102"/>
      <c r="L303" s="102"/>
      <c r="M303" s="102"/>
    </row>
    <row r="304" spans="1:48" ht="12.75">
      <c r="A304" s="99" t="s">
        <v>72</v>
      </c>
      <c r="B304" s="99" t="s">
        <v>406</v>
      </c>
      <c r="C304" s="99" t="s">
        <v>481</v>
      </c>
      <c r="D304" s="99" t="s">
        <v>1025</v>
      </c>
      <c r="E304" s="99" t="s">
        <v>1642</v>
      </c>
      <c r="F304" s="100">
        <v>0.02</v>
      </c>
      <c r="G304" s="100">
        <v>0</v>
      </c>
      <c r="H304" s="100">
        <f>F304*AE304</f>
        <v>0</v>
      </c>
      <c r="I304" s="100">
        <f>J304-H304</f>
        <v>0</v>
      </c>
      <c r="J304" s="100">
        <f>F304*G304</f>
        <v>0</v>
      </c>
      <c r="K304" s="100">
        <v>1.06325</v>
      </c>
      <c r="L304" s="100">
        <f>F304*K304</f>
        <v>0.021265000000000003</v>
      </c>
      <c r="M304" s="101" t="s">
        <v>1667</v>
      </c>
      <c r="P304" s="14">
        <f>IF(AG304="5",J304,0)</f>
        <v>0</v>
      </c>
      <c r="R304" s="14">
        <f>IF(AG304="1",H304,0)</f>
        <v>0</v>
      </c>
      <c r="S304" s="14">
        <f>IF(AG304="1",I304,0)</f>
        <v>0</v>
      </c>
      <c r="T304" s="14">
        <f>IF(AG304="7",H304,0)</f>
        <v>0</v>
      </c>
      <c r="U304" s="14">
        <f>IF(AG304="7",I304,0)</f>
        <v>0</v>
      </c>
      <c r="V304" s="14">
        <f>IF(AG304="2",H304,0)</f>
        <v>0</v>
      </c>
      <c r="W304" s="14">
        <f>IF(AG304="2",I304,0)</f>
        <v>0</v>
      </c>
      <c r="X304" s="14">
        <f>IF(AG304="0",J304,0)</f>
        <v>0</v>
      </c>
      <c r="Y304" s="8" t="s">
        <v>406</v>
      </c>
      <c r="Z304" s="5">
        <f>IF(AD304=0,J304,0)</f>
        <v>0</v>
      </c>
      <c r="AA304" s="5">
        <f>IF(AD304=15,J304,0)</f>
        <v>0</v>
      </c>
      <c r="AB304" s="5">
        <f>IF(AD304=21,J304,0)</f>
        <v>0</v>
      </c>
      <c r="AD304" s="14">
        <v>15</v>
      </c>
      <c r="AE304" s="14">
        <f>G304*0.826540309312274</f>
        <v>0</v>
      </c>
      <c r="AF304" s="14">
        <f>G304*(1-0.826540309312274)</f>
        <v>0</v>
      </c>
      <c r="AG304" s="10" t="s">
        <v>7</v>
      </c>
      <c r="AM304" s="14">
        <f>F304*AE304</f>
        <v>0</v>
      </c>
      <c r="AN304" s="14">
        <f>F304*AF304</f>
        <v>0</v>
      </c>
      <c r="AO304" s="15" t="s">
        <v>1692</v>
      </c>
      <c r="AP304" s="15" t="s">
        <v>1730</v>
      </c>
      <c r="AQ304" s="8" t="s">
        <v>1769</v>
      </c>
      <c r="AS304" s="14">
        <f>AM304+AN304</f>
        <v>0</v>
      </c>
      <c r="AT304" s="14">
        <f>G304/(100-AU304)*100</f>
        <v>0</v>
      </c>
      <c r="AU304" s="14">
        <v>0</v>
      </c>
      <c r="AV304" s="14">
        <f>L304</f>
        <v>0.021265000000000003</v>
      </c>
    </row>
    <row r="305" spans="1:13" ht="12.75">
      <c r="A305" s="102"/>
      <c r="B305" s="102"/>
      <c r="C305" s="102"/>
      <c r="D305" s="103" t="s">
        <v>1026</v>
      </c>
      <c r="E305" s="102"/>
      <c r="F305" s="104">
        <v>0.02</v>
      </c>
      <c r="G305" s="102"/>
      <c r="H305" s="102"/>
      <c r="I305" s="102"/>
      <c r="J305" s="102"/>
      <c r="K305" s="102"/>
      <c r="L305" s="102"/>
      <c r="M305" s="102"/>
    </row>
    <row r="306" spans="1:48" ht="12.75">
      <c r="A306" s="99" t="s">
        <v>73</v>
      </c>
      <c r="B306" s="99" t="s">
        <v>406</v>
      </c>
      <c r="C306" s="99" t="s">
        <v>482</v>
      </c>
      <c r="D306" s="99" t="s">
        <v>1027</v>
      </c>
      <c r="E306" s="99" t="s">
        <v>1639</v>
      </c>
      <c r="F306" s="100">
        <v>1.06</v>
      </c>
      <c r="G306" s="100">
        <v>0</v>
      </c>
      <c r="H306" s="100">
        <f>F306*AE306</f>
        <v>0</v>
      </c>
      <c r="I306" s="100">
        <f>J306-H306</f>
        <v>0</v>
      </c>
      <c r="J306" s="100">
        <f>F306*G306</f>
        <v>0</v>
      </c>
      <c r="K306" s="100">
        <v>0</v>
      </c>
      <c r="L306" s="100">
        <f>F306*K306</f>
        <v>0</v>
      </c>
      <c r="M306" s="101" t="s">
        <v>1667</v>
      </c>
      <c r="P306" s="14">
        <f>IF(AG306="5",J306,0)</f>
        <v>0</v>
      </c>
      <c r="R306" s="14">
        <f>IF(AG306="1",H306,0)</f>
        <v>0</v>
      </c>
      <c r="S306" s="14">
        <f>IF(AG306="1",I306,0)</f>
        <v>0</v>
      </c>
      <c r="T306" s="14">
        <f>IF(AG306="7",H306,0)</f>
        <v>0</v>
      </c>
      <c r="U306" s="14">
        <f>IF(AG306="7",I306,0)</f>
        <v>0</v>
      </c>
      <c r="V306" s="14">
        <f>IF(AG306="2",H306,0)</f>
        <v>0</v>
      </c>
      <c r="W306" s="14">
        <f>IF(AG306="2",I306,0)</f>
        <v>0</v>
      </c>
      <c r="X306" s="14">
        <f>IF(AG306="0",J306,0)</f>
        <v>0</v>
      </c>
      <c r="Y306" s="8" t="s">
        <v>406</v>
      </c>
      <c r="Z306" s="5">
        <f>IF(AD306=0,J306,0)</f>
        <v>0</v>
      </c>
      <c r="AA306" s="5">
        <f>IF(AD306=15,J306,0)</f>
        <v>0</v>
      </c>
      <c r="AB306" s="5">
        <f>IF(AD306=21,J306,0)</f>
        <v>0</v>
      </c>
      <c r="AD306" s="14">
        <v>15</v>
      </c>
      <c r="AE306" s="14">
        <f>G306*0</f>
        <v>0</v>
      </c>
      <c r="AF306" s="14">
        <f>G306*(1-0)</f>
        <v>0</v>
      </c>
      <c r="AG306" s="10" t="s">
        <v>7</v>
      </c>
      <c r="AM306" s="14">
        <f>F306*AE306</f>
        <v>0</v>
      </c>
      <c r="AN306" s="14">
        <f>F306*AF306</f>
        <v>0</v>
      </c>
      <c r="AO306" s="15" t="s">
        <v>1692</v>
      </c>
      <c r="AP306" s="15" t="s">
        <v>1730</v>
      </c>
      <c r="AQ306" s="8" t="s">
        <v>1769</v>
      </c>
      <c r="AS306" s="14">
        <f>AM306+AN306</f>
        <v>0</v>
      </c>
      <c r="AT306" s="14">
        <f>G306/(100-AU306)*100</f>
        <v>0</v>
      </c>
      <c r="AU306" s="14">
        <v>0</v>
      </c>
      <c r="AV306" s="14">
        <f>L306</f>
        <v>0</v>
      </c>
    </row>
    <row r="307" spans="1:48" ht="12.75">
      <c r="A307" s="99" t="s">
        <v>74</v>
      </c>
      <c r="B307" s="99" t="s">
        <v>406</v>
      </c>
      <c r="C307" s="99" t="s">
        <v>483</v>
      </c>
      <c r="D307" s="99" t="s">
        <v>1028</v>
      </c>
      <c r="E307" s="99" t="s">
        <v>1639</v>
      </c>
      <c r="F307" s="100">
        <v>1.06</v>
      </c>
      <c r="G307" s="100">
        <v>0</v>
      </c>
      <c r="H307" s="100">
        <f>F307*AE307</f>
        <v>0</v>
      </c>
      <c r="I307" s="100">
        <f>J307-H307</f>
        <v>0</v>
      </c>
      <c r="J307" s="100">
        <f>F307*G307</f>
        <v>0</v>
      </c>
      <c r="K307" s="100">
        <v>0</v>
      </c>
      <c r="L307" s="100">
        <f>F307*K307</f>
        <v>0</v>
      </c>
      <c r="M307" s="101" t="s">
        <v>1667</v>
      </c>
      <c r="P307" s="14">
        <f>IF(AG307="5",J307,0)</f>
        <v>0</v>
      </c>
      <c r="R307" s="14">
        <f>IF(AG307="1",H307,0)</f>
        <v>0</v>
      </c>
      <c r="S307" s="14">
        <f>IF(AG307="1",I307,0)</f>
        <v>0</v>
      </c>
      <c r="T307" s="14">
        <f>IF(AG307="7",H307,0)</f>
        <v>0</v>
      </c>
      <c r="U307" s="14">
        <f>IF(AG307="7",I307,0)</f>
        <v>0</v>
      </c>
      <c r="V307" s="14">
        <f>IF(AG307="2",H307,0)</f>
        <v>0</v>
      </c>
      <c r="W307" s="14">
        <f>IF(AG307="2",I307,0)</f>
        <v>0</v>
      </c>
      <c r="X307" s="14">
        <f>IF(AG307="0",J307,0)</f>
        <v>0</v>
      </c>
      <c r="Y307" s="8" t="s">
        <v>406</v>
      </c>
      <c r="Z307" s="5">
        <f>IF(AD307=0,J307,0)</f>
        <v>0</v>
      </c>
      <c r="AA307" s="5">
        <f>IF(AD307=15,J307,0)</f>
        <v>0</v>
      </c>
      <c r="AB307" s="5">
        <f>IF(AD307=21,J307,0)</f>
        <v>0</v>
      </c>
      <c r="AD307" s="14">
        <v>15</v>
      </c>
      <c r="AE307" s="14">
        <f>G307*0</f>
        <v>0</v>
      </c>
      <c r="AF307" s="14">
        <f>G307*(1-0)</f>
        <v>0</v>
      </c>
      <c r="AG307" s="10" t="s">
        <v>7</v>
      </c>
      <c r="AM307" s="14">
        <f>F307*AE307</f>
        <v>0</v>
      </c>
      <c r="AN307" s="14">
        <f>F307*AF307</f>
        <v>0</v>
      </c>
      <c r="AO307" s="15" t="s">
        <v>1692</v>
      </c>
      <c r="AP307" s="15" t="s">
        <v>1730</v>
      </c>
      <c r="AQ307" s="8" t="s">
        <v>1769</v>
      </c>
      <c r="AS307" s="14">
        <f>AM307+AN307</f>
        <v>0</v>
      </c>
      <c r="AT307" s="14">
        <f>G307/(100-AU307)*100</f>
        <v>0</v>
      </c>
      <c r="AU307" s="14">
        <v>0</v>
      </c>
      <c r="AV307" s="14">
        <f>L307</f>
        <v>0</v>
      </c>
    </row>
    <row r="308" spans="1:48" ht="12.75">
      <c r="A308" s="99" t="s">
        <v>75</v>
      </c>
      <c r="B308" s="99" t="s">
        <v>406</v>
      </c>
      <c r="C308" s="99" t="s">
        <v>484</v>
      </c>
      <c r="D308" s="99" t="s">
        <v>1029</v>
      </c>
      <c r="E308" s="99" t="s">
        <v>1639</v>
      </c>
      <c r="F308" s="100">
        <v>0.5</v>
      </c>
      <c r="G308" s="100">
        <v>0</v>
      </c>
      <c r="H308" s="100">
        <f>F308*AE308</f>
        <v>0</v>
      </c>
      <c r="I308" s="100">
        <f>J308-H308</f>
        <v>0</v>
      </c>
      <c r="J308" s="100">
        <f>F308*G308</f>
        <v>0</v>
      </c>
      <c r="K308" s="100">
        <v>1.837</v>
      </c>
      <c r="L308" s="100">
        <f>F308*K308</f>
        <v>0.9185</v>
      </c>
      <c r="M308" s="101" t="s">
        <v>1667</v>
      </c>
      <c r="P308" s="14">
        <f>IF(AG308="5",J308,0)</f>
        <v>0</v>
      </c>
      <c r="R308" s="14">
        <f>IF(AG308="1",H308,0)</f>
        <v>0</v>
      </c>
      <c r="S308" s="14">
        <f>IF(AG308="1",I308,0)</f>
        <v>0</v>
      </c>
      <c r="T308" s="14">
        <f>IF(AG308="7",H308,0)</f>
        <v>0</v>
      </c>
      <c r="U308" s="14">
        <f>IF(AG308="7",I308,0)</f>
        <v>0</v>
      </c>
      <c r="V308" s="14">
        <f>IF(AG308="2",H308,0)</f>
        <v>0</v>
      </c>
      <c r="W308" s="14">
        <f>IF(AG308="2",I308,0)</f>
        <v>0</v>
      </c>
      <c r="X308" s="14">
        <f>IF(AG308="0",J308,0)</f>
        <v>0</v>
      </c>
      <c r="Y308" s="8" t="s">
        <v>406</v>
      </c>
      <c r="Z308" s="5">
        <f>IF(AD308=0,J308,0)</f>
        <v>0</v>
      </c>
      <c r="AA308" s="5">
        <f>IF(AD308=15,J308,0)</f>
        <v>0</v>
      </c>
      <c r="AB308" s="5">
        <f>IF(AD308=21,J308,0)</f>
        <v>0</v>
      </c>
      <c r="AD308" s="14">
        <v>15</v>
      </c>
      <c r="AE308" s="14">
        <f>G308*0.504477186311787</f>
        <v>0</v>
      </c>
      <c r="AF308" s="14">
        <f>G308*(1-0.504477186311787)</f>
        <v>0</v>
      </c>
      <c r="AG308" s="10" t="s">
        <v>7</v>
      </c>
      <c r="AM308" s="14">
        <f>F308*AE308</f>
        <v>0</v>
      </c>
      <c r="AN308" s="14">
        <f>F308*AF308</f>
        <v>0</v>
      </c>
      <c r="AO308" s="15" t="s">
        <v>1692</v>
      </c>
      <c r="AP308" s="15" t="s">
        <v>1730</v>
      </c>
      <c r="AQ308" s="8" t="s">
        <v>1769</v>
      </c>
      <c r="AS308" s="14">
        <f>AM308+AN308</f>
        <v>0</v>
      </c>
      <c r="AT308" s="14">
        <f>G308/(100-AU308)*100</f>
        <v>0</v>
      </c>
      <c r="AU308" s="14">
        <v>0</v>
      </c>
      <c r="AV308" s="14">
        <f>L308</f>
        <v>0.9185</v>
      </c>
    </row>
    <row r="309" spans="1:13" ht="12.75">
      <c r="A309" s="102"/>
      <c r="B309" s="102"/>
      <c r="C309" s="102"/>
      <c r="D309" s="103" t="s">
        <v>1030</v>
      </c>
      <c r="E309" s="102"/>
      <c r="F309" s="104">
        <v>0.5</v>
      </c>
      <c r="G309" s="102"/>
      <c r="H309" s="102"/>
      <c r="I309" s="102"/>
      <c r="J309" s="102"/>
      <c r="K309" s="102"/>
      <c r="L309" s="102"/>
      <c r="M309" s="102"/>
    </row>
    <row r="310" spans="1:48" ht="12.75">
      <c r="A310" s="105" t="s">
        <v>76</v>
      </c>
      <c r="B310" s="105" t="s">
        <v>406</v>
      </c>
      <c r="C310" s="105" t="s">
        <v>485</v>
      </c>
      <c r="D310" s="105" t="s">
        <v>1031</v>
      </c>
      <c r="E310" s="105" t="s">
        <v>1642</v>
      </c>
      <c r="F310" s="106">
        <v>0.92</v>
      </c>
      <c r="G310" s="106">
        <v>0</v>
      </c>
      <c r="H310" s="106">
        <f>F310*AE310</f>
        <v>0</v>
      </c>
      <c r="I310" s="106">
        <f>J310-H310</f>
        <v>0</v>
      </c>
      <c r="J310" s="106">
        <f>F310*G310</f>
        <v>0</v>
      </c>
      <c r="K310" s="106">
        <v>1</v>
      </c>
      <c r="L310" s="106">
        <f>F310*K310</f>
        <v>0.92</v>
      </c>
      <c r="M310" s="107" t="s">
        <v>1669</v>
      </c>
      <c r="P310" s="14">
        <f>IF(AG310="5",J310,0)</f>
        <v>0</v>
      </c>
      <c r="R310" s="14">
        <f>IF(AG310="1",H310,0)</f>
        <v>0</v>
      </c>
      <c r="S310" s="14">
        <f>IF(AG310="1",I310,0)</f>
        <v>0</v>
      </c>
      <c r="T310" s="14">
        <f>IF(AG310="7",H310,0)</f>
        <v>0</v>
      </c>
      <c r="U310" s="14">
        <f>IF(AG310="7",I310,0)</f>
        <v>0</v>
      </c>
      <c r="V310" s="14">
        <f>IF(AG310="2",H310,0)</f>
        <v>0</v>
      </c>
      <c r="W310" s="14">
        <f>IF(AG310="2",I310,0)</f>
        <v>0</v>
      </c>
      <c r="X310" s="14">
        <f>IF(AG310="0",J310,0)</f>
        <v>0</v>
      </c>
      <c r="Y310" s="8" t="s">
        <v>406</v>
      </c>
      <c r="Z310" s="6">
        <f>IF(AD310=0,J310,0)</f>
        <v>0</v>
      </c>
      <c r="AA310" s="6">
        <f>IF(AD310=15,J310,0)</f>
        <v>0</v>
      </c>
      <c r="AB310" s="6">
        <f>IF(AD310=21,J310,0)</f>
        <v>0</v>
      </c>
      <c r="AD310" s="14">
        <v>15</v>
      </c>
      <c r="AE310" s="14">
        <f>G310*1</f>
        <v>0</v>
      </c>
      <c r="AF310" s="14">
        <f>G310*(1-1)</f>
        <v>0</v>
      </c>
      <c r="AG310" s="11" t="s">
        <v>7</v>
      </c>
      <c r="AM310" s="14">
        <f>F310*AE310</f>
        <v>0</v>
      </c>
      <c r="AN310" s="14">
        <f>F310*AF310</f>
        <v>0</v>
      </c>
      <c r="AO310" s="15" t="s">
        <v>1692</v>
      </c>
      <c r="AP310" s="15" t="s">
        <v>1730</v>
      </c>
      <c r="AQ310" s="8" t="s">
        <v>1769</v>
      </c>
      <c r="AS310" s="14">
        <f>AM310+AN310</f>
        <v>0</v>
      </c>
      <c r="AT310" s="14">
        <f>G310/(100-AU310)*100</f>
        <v>0</v>
      </c>
      <c r="AU310" s="14">
        <v>0</v>
      </c>
      <c r="AV310" s="14">
        <f>L310</f>
        <v>0.92</v>
      </c>
    </row>
    <row r="311" spans="1:13" ht="12.75">
      <c r="A311" s="102"/>
      <c r="B311" s="102"/>
      <c r="C311" s="102"/>
      <c r="D311" s="103" t="s">
        <v>1032</v>
      </c>
      <c r="E311" s="102"/>
      <c r="F311" s="104">
        <v>0.92</v>
      </c>
      <c r="G311" s="102"/>
      <c r="H311" s="102"/>
      <c r="I311" s="102"/>
      <c r="J311" s="102"/>
      <c r="K311" s="102"/>
      <c r="L311" s="102"/>
      <c r="M311" s="102"/>
    </row>
    <row r="312" spans="1:37" ht="12.75">
      <c r="A312" s="93"/>
      <c r="B312" s="94" t="s">
        <v>406</v>
      </c>
      <c r="C312" s="94" t="s">
        <v>70</v>
      </c>
      <c r="D312" s="95" t="s">
        <v>1033</v>
      </c>
      <c r="E312" s="96"/>
      <c r="F312" s="96"/>
      <c r="G312" s="96"/>
      <c r="H312" s="97">
        <f>SUM(H313:H325)</f>
        <v>0</v>
      </c>
      <c r="I312" s="97">
        <f>SUM(I313:I325)</f>
        <v>0</v>
      </c>
      <c r="J312" s="97">
        <f>H312+I312</f>
        <v>0</v>
      </c>
      <c r="K312" s="98"/>
      <c r="L312" s="97">
        <f>SUM(L313:L325)</f>
        <v>0.098243</v>
      </c>
      <c r="M312" s="98"/>
      <c r="Y312" s="8" t="s">
        <v>406</v>
      </c>
      <c r="AI312" s="16">
        <f>SUM(Z313:Z325)</f>
        <v>0</v>
      </c>
      <c r="AJ312" s="16">
        <f>SUM(AA313:AA325)</f>
        <v>0</v>
      </c>
      <c r="AK312" s="16">
        <f>SUM(AB313:AB325)</f>
        <v>0</v>
      </c>
    </row>
    <row r="313" spans="1:48" ht="12.75">
      <c r="A313" s="99" t="s">
        <v>77</v>
      </c>
      <c r="B313" s="99" t="s">
        <v>406</v>
      </c>
      <c r="C313" s="99" t="s">
        <v>486</v>
      </c>
      <c r="D313" s="99" t="s">
        <v>1034</v>
      </c>
      <c r="E313" s="99" t="s">
        <v>1643</v>
      </c>
      <c r="F313" s="100">
        <v>12.55</v>
      </c>
      <c r="G313" s="100">
        <v>0</v>
      </c>
      <c r="H313" s="100">
        <f>F313*AE313</f>
        <v>0</v>
      </c>
      <c r="I313" s="100">
        <f>J313-H313</f>
        <v>0</v>
      </c>
      <c r="J313" s="100">
        <f>F313*G313</f>
        <v>0</v>
      </c>
      <c r="K313" s="100">
        <v>0.00486</v>
      </c>
      <c r="L313" s="100">
        <f>F313*K313</f>
        <v>0.060993</v>
      </c>
      <c r="M313" s="101" t="s">
        <v>1667</v>
      </c>
      <c r="P313" s="14">
        <f>IF(AG313="5",J313,0)</f>
        <v>0</v>
      </c>
      <c r="R313" s="14">
        <f>IF(AG313="1",H313,0)</f>
        <v>0</v>
      </c>
      <c r="S313" s="14">
        <f>IF(AG313="1",I313,0)</f>
        <v>0</v>
      </c>
      <c r="T313" s="14">
        <f>IF(AG313="7",H313,0)</f>
        <v>0</v>
      </c>
      <c r="U313" s="14">
        <f>IF(AG313="7",I313,0)</f>
        <v>0</v>
      </c>
      <c r="V313" s="14">
        <f>IF(AG313="2",H313,0)</f>
        <v>0</v>
      </c>
      <c r="W313" s="14">
        <f>IF(AG313="2",I313,0)</f>
        <v>0</v>
      </c>
      <c r="X313" s="14">
        <f>IF(AG313="0",J313,0)</f>
        <v>0</v>
      </c>
      <c r="Y313" s="8" t="s">
        <v>406</v>
      </c>
      <c r="Z313" s="5">
        <f>IF(AD313=0,J313,0)</f>
        <v>0</v>
      </c>
      <c r="AA313" s="5">
        <f>IF(AD313=15,J313,0)</f>
        <v>0</v>
      </c>
      <c r="AB313" s="5">
        <f>IF(AD313=21,J313,0)</f>
        <v>0</v>
      </c>
      <c r="AD313" s="14">
        <v>15</v>
      </c>
      <c r="AE313" s="14">
        <f>G313*0.55910071942446</f>
        <v>0</v>
      </c>
      <c r="AF313" s="14">
        <f>G313*(1-0.55910071942446)</f>
        <v>0</v>
      </c>
      <c r="AG313" s="10" t="s">
        <v>7</v>
      </c>
      <c r="AM313" s="14">
        <f>F313*AE313</f>
        <v>0</v>
      </c>
      <c r="AN313" s="14">
        <f>F313*AF313</f>
        <v>0</v>
      </c>
      <c r="AO313" s="15" t="s">
        <v>1693</v>
      </c>
      <c r="AP313" s="15" t="s">
        <v>1730</v>
      </c>
      <c r="AQ313" s="8" t="s">
        <v>1769</v>
      </c>
      <c r="AS313" s="14">
        <f>AM313+AN313</f>
        <v>0</v>
      </c>
      <c r="AT313" s="14">
        <f>G313/(100-AU313)*100</f>
        <v>0</v>
      </c>
      <c r="AU313" s="14">
        <v>0</v>
      </c>
      <c r="AV313" s="14">
        <f>L313</f>
        <v>0.060993</v>
      </c>
    </row>
    <row r="314" spans="1:13" ht="12.75">
      <c r="A314" s="102"/>
      <c r="B314" s="102"/>
      <c r="C314" s="102"/>
      <c r="D314" s="103" t="s">
        <v>1035</v>
      </c>
      <c r="E314" s="102"/>
      <c r="F314" s="104">
        <v>12.55</v>
      </c>
      <c r="G314" s="102"/>
      <c r="H314" s="102"/>
      <c r="I314" s="102"/>
      <c r="J314" s="102"/>
      <c r="K314" s="102"/>
      <c r="L314" s="102"/>
      <c r="M314" s="102"/>
    </row>
    <row r="315" spans="1:48" ht="12.75">
      <c r="A315" s="99" t="s">
        <v>78</v>
      </c>
      <c r="B315" s="99" t="s">
        <v>406</v>
      </c>
      <c r="C315" s="99" t="s">
        <v>487</v>
      </c>
      <c r="D315" s="99" t="s">
        <v>1036</v>
      </c>
      <c r="E315" s="99" t="s">
        <v>1641</v>
      </c>
      <c r="F315" s="100">
        <v>1</v>
      </c>
      <c r="G315" s="100">
        <v>0</v>
      </c>
      <c r="H315" s="100">
        <f>F315*AE315</f>
        <v>0</v>
      </c>
      <c r="I315" s="100">
        <f>J315-H315</f>
        <v>0</v>
      </c>
      <c r="J315" s="100">
        <f>F315*G315</f>
        <v>0</v>
      </c>
      <c r="K315" s="100">
        <v>0.03725</v>
      </c>
      <c r="L315" s="100">
        <f>F315*K315</f>
        <v>0.03725</v>
      </c>
      <c r="M315" s="101" t="s">
        <v>1667</v>
      </c>
      <c r="P315" s="14">
        <f>IF(AG315="5",J315,0)</f>
        <v>0</v>
      </c>
      <c r="R315" s="14">
        <f>IF(AG315="1",H315,0)</f>
        <v>0</v>
      </c>
      <c r="S315" s="14">
        <f>IF(AG315="1",I315,0)</f>
        <v>0</v>
      </c>
      <c r="T315" s="14">
        <f>IF(AG315="7",H315,0)</f>
        <v>0</v>
      </c>
      <c r="U315" s="14">
        <f>IF(AG315="7",I315,0)</f>
        <v>0</v>
      </c>
      <c r="V315" s="14">
        <f>IF(AG315="2",H315,0)</f>
        <v>0</v>
      </c>
      <c r="W315" s="14">
        <f>IF(AG315="2",I315,0)</f>
        <v>0</v>
      </c>
      <c r="X315" s="14">
        <f>IF(AG315="0",J315,0)</f>
        <v>0</v>
      </c>
      <c r="Y315" s="8" t="s">
        <v>406</v>
      </c>
      <c r="Z315" s="5">
        <f>IF(AD315=0,J315,0)</f>
        <v>0</v>
      </c>
      <c r="AA315" s="5">
        <f>IF(AD315=15,J315,0)</f>
        <v>0</v>
      </c>
      <c r="AB315" s="5">
        <f>IF(AD315=21,J315,0)</f>
        <v>0</v>
      </c>
      <c r="AD315" s="14">
        <v>15</v>
      </c>
      <c r="AE315" s="14">
        <f>G315*0.926188071188071</f>
        <v>0</v>
      </c>
      <c r="AF315" s="14">
        <f>G315*(1-0.926188071188071)</f>
        <v>0</v>
      </c>
      <c r="AG315" s="10" t="s">
        <v>7</v>
      </c>
      <c r="AM315" s="14">
        <f>F315*AE315</f>
        <v>0</v>
      </c>
      <c r="AN315" s="14">
        <f>F315*AF315</f>
        <v>0</v>
      </c>
      <c r="AO315" s="15" t="s">
        <v>1693</v>
      </c>
      <c r="AP315" s="15" t="s">
        <v>1730</v>
      </c>
      <c r="AQ315" s="8" t="s">
        <v>1769</v>
      </c>
      <c r="AS315" s="14">
        <f>AM315+AN315</f>
        <v>0</v>
      </c>
      <c r="AT315" s="14">
        <f>G315/(100-AU315)*100</f>
        <v>0</v>
      </c>
      <c r="AU315" s="14">
        <v>0</v>
      </c>
      <c r="AV315" s="14">
        <f>L315</f>
        <v>0.03725</v>
      </c>
    </row>
    <row r="316" spans="1:13" ht="12.75">
      <c r="A316" s="102"/>
      <c r="B316" s="102"/>
      <c r="C316" s="102"/>
      <c r="D316" s="103" t="s">
        <v>1037</v>
      </c>
      <c r="E316" s="102"/>
      <c r="F316" s="104">
        <v>1</v>
      </c>
      <c r="G316" s="102"/>
      <c r="H316" s="102"/>
      <c r="I316" s="102"/>
      <c r="J316" s="102"/>
      <c r="K316" s="102"/>
      <c r="L316" s="102"/>
      <c r="M316" s="102"/>
    </row>
    <row r="317" spans="1:48" ht="12.75">
      <c r="A317" s="99" t="s">
        <v>79</v>
      </c>
      <c r="B317" s="99" t="s">
        <v>406</v>
      </c>
      <c r="C317" s="99" t="s">
        <v>488</v>
      </c>
      <c r="D317" s="99" t="s">
        <v>1038</v>
      </c>
      <c r="E317" s="99" t="s">
        <v>1644</v>
      </c>
      <c r="F317" s="100">
        <v>1</v>
      </c>
      <c r="G317" s="100">
        <v>0</v>
      </c>
      <c r="H317" s="100">
        <f>F317*AE317</f>
        <v>0</v>
      </c>
      <c r="I317" s="100">
        <f>J317-H317</f>
        <v>0</v>
      </c>
      <c r="J317" s="100">
        <f>F317*G317</f>
        <v>0</v>
      </c>
      <c r="K317" s="100">
        <v>0</v>
      </c>
      <c r="L317" s="100">
        <f>F317*K317</f>
        <v>0</v>
      </c>
      <c r="M317" s="101" t="s">
        <v>1667</v>
      </c>
      <c r="P317" s="14">
        <f>IF(AG317="5",J317,0)</f>
        <v>0</v>
      </c>
      <c r="R317" s="14">
        <f>IF(AG317="1",H317,0)</f>
        <v>0</v>
      </c>
      <c r="S317" s="14">
        <f>IF(AG317="1",I317,0)</f>
        <v>0</v>
      </c>
      <c r="T317" s="14">
        <f>IF(AG317="7",H317,0)</f>
        <v>0</v>
      </c>
      <c r="U317" s="14">
        <f>IF(AG317="7",I317,0)</f>
        <v>0</v>
      </c>
      <c r="V317" s="14">
        <f>IF(AG317="2",H317,0)</f>
        <v>0</v>
      </c>
      <c r="W317" s="14">
        <f>IF(AG317="2",I317,0)</f>
        <v>0</v>
      </c>
      <c r="X317" s="14">
        <f>IF(AG317="0",J317,0)</f>
        <v>0</v>
      </c>
      <c r="Y317" s="8" t="s">
        <v>406</v>
      </c>
      <c r="Z317" s="5">
        <f>IF(AD317=0,J317,0)</f>
        <v>0</v>
      </c>
      <c r="AA317" s="5">
        <f>IF(AD317=15,J317,0)</f>
        <v>0</v>
      </c>
      <c r="AB317" s="5">
        <f>IF(AD317=21,J317,0)</f>
        <v>0</v>
      </c>
      <c r="AD317" s="14">
        <v>15</v>
      </c>
      <c r="AE317" s="14">
        <f>G317*0</f>
        <v>0</v>
      </c>
      <c r="AF317" s="14">
        <f>G317*(1-0)</f>
        <v>0</v>
      </c>
      <c r="AG317" s="10" t="s">
        <v>7</v>
      </c>
      <c r="AM317" s="14">
        <f>F317*AE317</f>
        <v>0</v>
      </c>
      <c r="AN317" s="14">
        <f>F317*AF317</f>
        <v>0</v>
      </c>
      <c r="AO317" s="15" t="s">
        <v>1693</v>
      </c>
      <c r="AP317" s="15" t="s">
        <v>1730</v>
      </c>
      <c r="AQ317" s="8" t="s">
        <v>1769</v>
      </c>
      <c r="AS317" s="14">
        <f>AM317+AN317</f>
        <v>0</v>
      </c>
      <c r="AT317" s="14">
        <f>G317/(100-AU317)*100</f>
        <v>0</v>
      </c>
      <c r="AU317" s="14">
        <v>0</v>
      </c>
      <c r="AV317" s="14">
        <f>L317</f>
        <v>0</v>
      </c>
    </row>
    <row r="318" spans="1:13" ht="12.75">
      <c r="A318" s="102"/>
      <c r="B318" s="102"/>
      <c r="C318" s="102"/>
      <c r="D318" s="103" t="s">
        <v>1039</v>
      </c>
      <c r="E318" s="102"/>
      <c r="F318" s="104">
        <v>1</v>
      </c>
      <c r="G318" s="102"/>
      <c r="H318" s="102"/>
      <c r="I318" s="102"/>
      <c r="J318" s="102"/>
      <c r="K318" s="102"/>
      <c r="L318" s="102"/>
      <c r="M318" s="102"/>
    </row>
    <row r="319" spans="1:48" ht="12.75">
      <c r="A319" s="99" t="s">
        <v>80</v>
      </c>
      <c r="B319" s="99" t="s">
        <v>406</v>
      </c>
      <c r="C319" s="99" t="s">
        <v>489</v>
      </c>
      <c r="D319" s="99" t="s">
        <v>1040</v>
      </c>
      <c r="E319" s="99" t="s">
        <v>1644</v>
      </c>
      <c r="F319" s="100">
        <v>1</v>
      </c>
      <c r="G319" s="100">
        <v>0</v>
      </c>
      <c r="H319" s="100">
        <f>F319*AE319</f>
        <v>0</v>
      </c>
      <c r="I319" s="100">
        <f>J319-H319</f>
        <v>0</v>
      </c>
      <c r="J319" s="100">
        <f>F319*G319</f>
        <v>0</v>
      </c>
      <c r="K319" s="100">
        <v>0</v>
      </c>
      <c r="L319" s="100">
        <f>F319*K319</f>
        <v>0</v>
      </c>
      <c r="M319" s="101" t="s">
        <v>1667</v>
      </c>
      <c r="P319" s="14">
        <f>IF(AG319="5",J319,0)</f>
        <v>0</v>
      </c>
      <c r="R319" s="14">
        <f>IF(AG319="1",H319,0)</f>
        <v>0</v>
      </c>
      <c r="S319" s="14">
        <f>IF(AG319="1",I319,0)</f>
        <v>0</v>
      </c>
      <c r="T319" s="14">
        <f>IF(AG319="7",H319,0)</f>
        <v>0</v>
      </c>
      <c r="U319" s="14">
        <f>IF(AG319="7",I319,0)</f>
        <v>0</v>
      </c>
      <c r="V319" s="14">
        <f>IF(AG319="2",H319,0)</f>
        <v>0</v>
      </c>
      <c r="W319" s="14">
        <f>IF(AG319="2",I319,0)</f>
        <v>0</v>
      </c>
      <c r="X319" s="14">
        <f>IF(AG319="0",J319,0)</f>
        <v>0</v>
      </c>
      <c r="Y319" s="8" t="s">
        <v>406</v>
      </c>
      <c r="Z319" s="5">
        <f>IF(AD319=0,J319,0)</f>
        <v>0</v>
      </c>
      <c r="AA319" s="5">
        <f>IF(AD319=15,J319,0)</f>
        <v>0</v>
      </c>
      <c r="AB319" s="5">
        <f>IF(AD319=21,J319,0)</f>
        <v>0</v>
      </c>
      <c r="AD319" s="14">
        <v>15</v>
      </c>
      <c r="AE319" s="14">
        <f>G319*0</f>
        <v>0</v>
      </c>
      <c r="AF319" s="14">
        <f>G319*(1-0)</f>
        <v>0</v>
      </c>
      <c r="AG319" s="10" t="s">
        <v>7</v>
      </c>
      <c r="AM319" s="14">
        <f>F319*AE319</f>
        <v>0</v>
      </c>
      <c r="AN319" s="14">
        <f>F319*AF319</f>
        <v>0</v>
      </c>
      <c r="AO319" s="15" t="s">
        <v>1693</v>
      </c>
      <c r="AP319" s="15" t="s">
        <v>1730</v>
      </c>
      <c r="AQ319" s="8" t="s">
        <v>1769</v>
      </c>
      <c r="AS319" s="14">
        <f>AM319+AN319</f>
        <v>0</v>
      </c>
      <c r="AT319" s="14">
        <f>G319/(100-AU319)*100</f>
        <v>0</v>
      </c>
      <c r="AU319" s="14">
        <v>0</v>
      </c>
      <c r="AV319" s="14">
        <f>L319</f>
        <v>0</v>
      </c>
    </row>
    <row r="320" spans="1:13" ht="12.75">
      <c r="A320" s="102"/>
      <c r="B320" s="102"/>
      <c r="C320" s="102"/>
      <c r="D320" s="103" t="s">
        <v>1039</v>
      </c>
      <c r="E320" s="102"/>
      <c r="F320" s="104">
        <v>1</v>
      </c>
      <c r="G320" s="102"/>
      <c r="H320" s="102"/>
      <c r="I320" s="102"/>
      <c r="J320" s="102"/>
      <c r="K320" s="102"/>
      <c r="L320" s="102"/>
      <c r="M320" s="102"/>
    </row>
    <row r="321" spans="1:48" ht="12.75">
      <c r="A321" s="99" t="s">
        <v>81</v>
      </c>
      <c r="B321" s="99" t="s">
        <v>406</v>
      </c>
      <c r="C321" s="99" t="s">
        <v>490</v>
      </c>
      <c r="D321" s="99" t="s">
        <v>1041</v>
      </c>
      <c r="E321" s="99" t="s">
        <v>1644</v>
      </c>
      <c r="F321" s="100">
        <v>1</v>
      </c>
      <c r="G321" s="100">
        <v>0</v>
      </c>
      <c r="H321" s="100">
        <f>F321*AE321</f>
        <v>0</v>
      </c>
      <c r="I321" s="100">
        <f>J321-H321</f>
        <v>0</v>
      </c>
      <c r="J321" s="100">
        <f>F321*G321</f>
        <v>0</v>
      </c>
      <c r="K321" s="100">
        <v>0</v>
      </c>
      <c r="L321" s="100">
        <f>F321*K321</f>
        <v>0</v>
      </c>
      <c r="M321" s="101" t="s">
        <v>1667</v>
      </c>
      <c r="P321" s="14">
        <f>IF(AG321="5",J321,0)</f>
        <v>0</v>
      </c>
      <c r="R321" s="14">
        <f>IF(AG321="1",H321,0)</f>
        <v>0</v>
      </c>
      <c r="S321" s="14">
        <f>IF(AG321="1",I321,0)</f>
        <v>0</v>
      </c>
      <c r="T321" s="14">
        <f>IF(AG321="7",H321,0)</f>
        <v>0</v>
      </c>
      <c r="U321" s="14">
        <f>IF(AG321="7",I321,0)</f>
        <v>0</v>
      </c>
      <c r="V321" s="14">
        <f>IF(AG321="2",H321,0)</f>
        <v>0</v>
      </c>
      <c r="W321" s="14">
        <f>IF(AG321="2",I321,0)</f>
        <v>0</v>
      </c>
      <c r="X321" s="14">
        <f>IF(AG321="0",J321,0)</f>
        <v>0</v>
      </c>
      <c r="Y321" s="8" t="s">
        <v>406</v>
      </c>
      <c r="Z321" s="5">
        <f>IF(AD321=0,J321,0)</f>
        <v>0</v>
      </c>
      <c r="AA321" s="5">
        <f>IF(AD321=15,J321,0)</f>
        <v>0</v>
      </c>
      <c r="AB321" s="5">
        <f>IF(AD321=21,J321,0)</f>
        <v>0</v>
      </c>
      <c r="AD321" s="14">
        <v>15</v>
      </c>
      <c r="AE321" s="14">
        <f>G321*0</f>
        <v>0</v>
      </c>
      <c r="AF321" s="14">
        <f>G321*(1-0)</f>
        <v>0</v>
      </c>
      <c r="AG321" s="10" t="s">
        <v>7</v>
      </c>
      <c r="AM321" s="14">
        <f>F321*AE321</f>
        <v>0</v>
      </c>
      <c r="AN321" s="14">
        <f>F321*AF321</f>
        <v>0</v>
      </c>
      <c r="AO321" s="15" t="s">
        <v>1693</v>
      </c>
      <c r="AP321" s="15" t="s">
        <v>1730</v>
      </c>
      <c r="AQ321" s="8" t="s">
        <v>1769</v>
      </c>
      <c r="AS321" s="14">
        <f>AM321+AN321</f>
        <v>0</v>
      </c>
      <c r="AT321" s="14">
        <f>G321/(100-AU321)*100</f>
        <v>0</v>
      </c>
      <c r="AU321" s="14">
        <v>0</v>
      </c>
      <c r="AV321" s="14">
        <f>L321</f>
        <v>0</v>
      </c>
    </row>
    <row r="322" spans="1:13" ht="12.75">
      <c r="A322" s="102"/>
      <c r="B322" s="102"/>
      <c r="C322" s="102"/>
      <c r="D322" s="103" t="s">
        <v>1039</v>
      </c>
      <c r="E322" s="102"/>
      <c r="F322" s="104">
        <v>1</v>
      </c>
      <c r="G322" s="102"/>
      <c r="H322" s="102"/>
      <c r="I322" s="102"/>
      <c r="J322" s="102"/>
      <c r="K322" s="102"/>
      <c r="L322" s="102"/>
      <c r="M322" s="102"/>
    </row>
    <row r="323" spans="1:48" ht="12.75">
      <c r="A323" s="99" t="s">
        <v>82</v>
      </c>
      <c r="B323" s="99" t="s">
        <v>406</v>
      </c>
      <c r="C323" s="99" t="s">
        <v>491</v>
      </c>
      <c r="D323" s="99" t="s">
        <v>1042</v>
      </c>
      <c r="E323" s="99" t="s">
        <v>1644</v>
      </c>
      <c r="F323" s="100">
        <v>2</v>
      </c>
      <c r="G323" s="100">
        <v>0</v>
      </c>
      <c r="H323" s="100">
        <f>F323*AE323</f>
        <v>0</v>
      </c>
      <c r="I323" s="100">
        <f>J323-H323</f>
        <v>0</v>
      </c>
      <c r="J323" s="100">
        <f>F323*G323</f>
        <v>0</v>
      </c>
      <c r="K323" s="100">
        <v>0</v>
      </c>
      <c r="L323" s="100">
        <f>F323*K323</f>
        <v>0</v>
      </c>
      <c r="M323" s="101" t="s">
        <v>1667</v>
      </c>
      <c r="P323" s="14">
        <f>IF(AG323="5",J323,0)</f>
        <v>0</v>
      </c>
      <c r="R323" s="14">
        <f>IF(AG323="1",H323,0)</f>
        <v>0</v>
      </c>
      <c r="S323" s="14">
        <f>IF(AG323="1",I323,0)</f>
        <v>0</v>
      </c>
      <c r="T323" s="14">
        <f>IF(AG323="7",H323,0)</f>
        <v>0</v>
      </c>
      <c r="U323" s="14">
        <f>IF(AG323="7",I323,0)</f>
        <v>0</v>
      </c>
      <c r="V323" s="14">
        <f>IF(AG323="2",H323,0)</f>
        <v>0</v>
      </c>
      <c r="W323" s="14">
        <f>IF(AG323="2",I323,0)</f>
        <v>0</v>
      </c>
      <c r="X323" s="14">
        <f>IF(AG323="0",J323,0)</f>
        <v>0</v>
      </c>
      <c r="Y323" s="8" t="s">
        <v>406</v>
      </c>
      <c r="Z323" s="5">
        <f>IF(AD323=0,J323,0)</f>
        <v>0</v>
      </c>
      <c r="AA323" s="5">
        <f>IF(AD323=15,J323,0)</f>
        <v>0</v>
      </c>
      <c r="AB323" s="5">
        <f>IF(AD323=21,J323,0)</f>
        <v>0</v>
      </c>
      <c r="AD323" s="14">
        <v>15</v>
      </c>
      <c r="AE323" s="14">
        <f>G323*0</f>
        <v>0</v>
      </c>
      <c r="AF323" s="14">
        <f>G323*(1-0)</f>
        <v>0</v>
      </c>
      <c r="AG323" s="10" t="s">
        <v>7</v>
      </c>
      <c r="AM323" s="14">
        <f>F323*AE323</f>
        <v>0</v>
      </c>
      <c r="AN323" s="14">
        <f>F323*AF323</f>
        <v>0</v>
      </c>
      <c r="AO323" s="15" t="s">
        <v>1693</v>
      </c>
      <c r="AP323" s="15" t="s">
        <v>1730</v>
      </c>
      <c r="AQ323" s="8" t="s">
        <v>1769</v>
      </c>
      <c r="AS323" s="14">
        <f>AM323+AN323</f>
        <v>0</v>
      </c>
      <c r="AT323" s="14">
        <f>G323/(100-AU323)*100</f>
        <v>0</v>
      </c>
      <c r="AU323" s="14">
        <v>0</v>
      </c>
      <c r="AV323" s="14">
        <f>L323</f>
        <v>0</v>
      </c>
    </row>
    <row r="324" spans="1:13" ht="12.75">
      <c r="A324" s="102"/>
      <c r="B324" s="102"/>
      <c r="C324" s="102"/>
      <c r="D324" s="103" t="s">
        <v>1043</v>
      </c>
      <c r="E324" s="102"/>
      <c r="F324" s="104">
        <v>2</v>
      </c>
      <c r="G324" s="102"/>
      <c r="H324" s="102"/>
      <c r="I324" s="102"/>
      <c r="J324" s="102"/>
      <c r="K324" s="102"/>
      <c r="L324" s="102"/>
      <c r="M324" s="102"/>
    </row>
    <row r="325" spans="1:48" ht="12.75">
      <c r="A325" s="99" t="s">
        <v>83</v>
      </c>
      <c r="B325" s="99" t="s">
        <v>406</v>
      </c>
      <c r="C325" s="99" t="s">
        <v>492</v>
      </c>
      <c r="D325" s="99" t="s">
        <v>1044</v>
      </c>
      <c r="E325" s="99" t="s">
        <v>1644</v>
      </c>
      <c r="F325" s="100">
        <v>5</v>
      </c>
      <c r="G325" s="100">
        <v>0</v>
      </c>
      <c r="H325" s="100">
        <f>F325*AE325</f>
        <v>0</v>
      </c>
      <c r="I325" s="100">
        <f>J325-H325</f>
        <v>0</v>
      </c>
      <c r="J325" s="100">
        <f>F325*G325</f>
        <v>0</v>
      </c>
      <c r="K325" s="100">
        <v>0</v>
      </c>
      <c r="L325" s="100">
        <f>F325*K325</f>
        <v>0</v>
      </c>
      <c r="M325" s="101" t="s">
        <v>1667</v>
      </c>
      <c r="P325" s="14">
        <f>IF(AG325="5",J325,0)</f>
        <v>0</v>
      </c>
      <c r="R325" s="14">
        <f>IF(AG325="1",H325,0)</f>
        <v>0</v>
      </c>
      <c r="S325" s="14">
        <f>IF(AG325="1",I325,0)</f>
        <v>0</v>
      </c>
      <c r="T325" s="14">
        <f>IF(AG325="7",H325,0)</f>
        <v>0</v>
      </c>
      <c r="U325" s="14">
        <f>IF(AG325="7",I325,0)</f>
        <v>0</v>
      </c>
      <c r="V325" s="14">
        <f>IF(AG325="2",H325,0)</f>
        <v>0</v>
      </c>
      <c r="W325" s="14">
        <f>IF(AG325="2",I325,0)</f>
        <v>0</v>
      </c>
      <c r="X325" s="14">
        <f>IF(AG325="0",J325,0)</f>
        <v>0</v>
      </c>
      <c r="Y325" s="8" t="s">
        <v>406</v>
      </c>
      <c r="Z325" s="5">
        <f>IF(AD325=0,J325,0)</f>
        <v>0</v>
      </c>
      <c r="AA325" s="5">
        <f>IF(AD325=15,J325,0)</f>
        <v>0</v>
      </c>
      <c r="AB325" s="5">
        <f>IF(AD325=21,J325,0)</f>
        <v>0</v>
      </c>
      <c r="AD325" s="14">
        <v>15</v>
      </c>
      <c r="AE325" s="14">
        <f>G325*0</f>
        <v>0</v>
      </c>
      <c r="AF325" s="14">
        <f>G325*(1-0)</f>
        <v>0</v>
      </c>
      <c r="AG325" s="10" t="s">
        <v>7</v>
      </c>
      <c r="AM325" s="14">
        <f>F325*AE325</f>
        <v>0</v>
      </c>
      <c r="AN325" s="14">
        <f>F325*AF325</f>
        <v>0</v>
      </c>
      <c r="AO325" s="15" t="s">
        <v>1693</v>
      </c>
      <c r="AP325" s="15" t="s">
        <v>1730</v>
      </c>
      <c r="AQ325" s="8" t="s">
        <v>1769</v>
      </c>
      <c r="AS325" s="14">
        <f>AM325+AN325</f>
        <v>0</v>
      </c>
      <c r="AT325" s="14">
        <f>G325/(100-AU325)*100</f>
        <v>0</v>
      </c>
      <c r="AU325" s="14">
        <v>0</v>
      </c>
      <c r="AV325" s="14">
        <f>L325</f>
        <v>0</v>
      </c>
    </row>
    <row r="326" spans="1:13" ht="12.75">
      <c r="A326" s="102"/>
      <c r="B326" s="102"/>
      <c r="C326" s="102"/>
      <c r="D326" s="103" t="s">
        <v>1045</v>
      </c>
      <c r="E326" s="102"/>
      <c r="F326" s="104">
        <v>2</v>
      </c>
      <c r="G326" s="102"/>
      <c r="H326" s="102"/>
      <c r="I326" s="102"/>
      <c r="J326" s="102"/>
      <c r="K326" s="102"/>
      <c r="L326" s="102"/>
      <c r="M326" s="102"/>
    </row>
    <row r="327" spans="1:13" ht="12.75">
      <c r="A327" s="102"/>
      <c r="B327" s="102"/>
      <c r="C327" s="102"/>
      <c r="D327" s="103" t="s">
        <v>1046</v>
      </c>
      <c r="E327" s="102"/>
      <c r="F327" s="104">
        <v>3</v>
      </c>
      <c r="G327" s="102"/>
      <c r="H327" s="102"/>
      <c r="I327" s="102"/>
      <c r="J327" s="102"/>
      <c r="K327" s="102"/>
      <c r="L327" s="102"/>
      <c r="M327" s="102"/>
    </row>
    <row r="328" spans="1:37" ht="12.75">
      <c r="A328" s="93"/>
      <c r="B328" s="94" t="s">
        <v>406</v>
      </c>
      <c r="C328" s="94" t="s">
        <v>493</v>
      </c>
      <c r="D328" s="95" t="s">
        <v>1047</v>
      </c>
      <c r="E328" s="96"/>
      <c r="F328" s="96"/>
      <c r="G328" s="96"/>
      <c r="H328" s="97">
        <f>SUM(H329:H347)</f>
        <v>0</v>
      </c>
      <c r="I328" s="97">
        <f>SUM(I329:I347)</f>
        <v>0</v>
      </c>
      <c r="J328" s="97">
        <f>H328+I328</f>
        <v>0</v>
      </c>
      <c r="K328" s="98"/>
      <c r="L328" s="97">
        <f>SUM(L329:L347)</f>
        <v>1.1219995999999999</v>
      </c>
      <c r="M328" s="98"/>
      <c r="Y328" s="8" t="s">
        <v>406</v>
      </c>
      <c r="AI328" s="16">
        <f>SUM(Z329:Z347)</f>
        <v>0</v>
      </c>
      <c r="AJ328" s="16">
        <f>SUM(AA329:AA347)</f>
        <v>0</v>
      </c>
      <c r="AK328" s="16">
        <f>SUM(AB329:AB347)</f>
        <v>0</v>
      </c>
    </row>
    <row r="329" spans="1:48" ht="12.75">
      <c r="A329" s="99" t="s">
        <v>84</v>
      </c>
      <c r="B329" s="99" t="s">
        <v>406</v>
      </c>
      <c r="C329" s="99" t="s">
        <v>494</v>
      </c>
      <c r="D329" s="99" t="s">
        <v>1048</v>
      </c>
      <c r="E329" s="99" t="s">
        <v>1640</v>
      </c>
      <c r="F329" s="100">
        <v>91.88</v>
      </c>
      <c r="G329" s="100">
        <v>0</v>
      </c>
      <c r="H329" s="100">
        <f>F329*AE329</f>
        <v>0</v>
      </c>
      <c r="I329" s="100">
        <f>J329-H329</f>
        <v>0</v>
      </c>
      <c r="J329" s="100">
        <f>F329*G329</f>
        <v>0</v>
      </c>
      <c r="K329" s="100">
        <v>0.00033</v>
      </c>
      <c r="L329" s="100">
        <f>F329*K329</f>
        <v>0.030320399999999997</v>
      </c>
      <c r="M329" s="101" t="s">
        <v>1667</v>
      </c>
      <c r="P329" s="14">
        <f>IF(AG329="5",J329,0)</f>
        <v>0</v>
      </c>
      <c r="R329" s="14">
        <f>IF(AG329="1",H329,0)</f>
        <v>0</v>
      </c>
      <c r="S329" s="14">
        <f>IF(AG329="1",I329,0)</f>
        <v>0</v>
      </c>
      <c r="T329" s="14">
        <f>IF(AG329="7",H329,0)</f>
        <v>0</v>
      </c>
      <c r="U329" s="14">
        <f>IF(AG329="7",I329,0)</f>
        <v>0</v>
      </c>
      <c r="V329" s="14">
        <f>IF(AG329="2",H329,0)</f>
        <v>0</v>
      </c>
      <c r="W329" s="14">
        <f>IF(AG329="2",I329,0)</f>
        <v>0</v>
      </c>
      <c r="X329" s="14">
        <f>IF(AG329="0",J329,0)</f>
        <v>0</v>
      </c>
      <c r="Y329" s="8" t="s">
        <v>406</v>
      </c>
      <c r="Z329" s="5">
        <f>IF(AD329=0,J329,0)</f>
        <v>0</v>
      </c>
      <c r="AA329" s="5">
        <f>IF(AD329=15,J329,0)</f>
        <v>0</v>
      </c>
      <c r="AB329" s="5">
        <f>IF(AD329=21,J329,0)</f>
        <v>0</v>
      </c>
      <c r="AD329" s="14">
        <v>15</v>
      </c>
      <c r="AE329" s="14">
        <f>G329*0.633596837944664</f>
        <v>0</v>
      </c>
      <c r="AF329" s="14">
        <f>G329*(1-0.633596837944664)</f>
        <v>0</v>
      </c>
      <c r="AG329" s="10" t="s">
        <v>13</v>
      </c>
      <c r="AM329" s="14">
        <f>F329*AE329</f>
        <v>0</v>
      </c>
      <c r="AN329" s="14">
        <f>F329*AF329</f>
        <v>0</v>
      </c>
      <c r="AO329" s="15" t="s">
        <v>1694</v>
      </c>
      <c r="AP329" s="15" t="s">
        <v>1731</v>
      </c>
      <c r="AQ329" s="8" t="s">
        <v>1769</v>
      </c>
      <c r="AS329" s="14">
        <f>AM329+AN329</f>
        <v>0</v>
      </c>
      <c r="AT329" s="14">
        <f>G329/(100-AU329)*100</f>
        <v>0</v>
      </c>
      <c r="AU329" s="14">
        <v>0</v>
      </c>
      <c r="AV329" s="14">
        <f>L329</f>
        <v>0.030320399999999997</v>
      </c>
    </row>
    <row r="330" spans="1:13" ht="12.75">
      <c r="A330" s="102"/>
      <c r="B330" s="102"/>
      <c r="C330" s="102"/>
      <c r="D330" s="103" t="s">
        <v>1049</v>
      </c>
      <c r="E330" s="102"/>
      <c r="F330" s="104">
        <v>91.88</v>
      </c>
      <c r="G330" s="102"/>
      <c r="H330" s="102"/>
      <c r="I330" s="102"/>
      <c r="J330" s="102"/>
      <c r="K330" s="102"/>
      <c r="L330" s="102"/>
      <c r="M330" s="102"/>
    </row>
    <row r="331" spans="1:48" ht="12.75">
      <c r="A331" s="99" t="s">
        <v>85</v>
      </c>
      <c r="B331" s="99" t="s">
        <v>406</v>
      </c>
      <c r="C331" s="99" t="s">
        <v>495</v>
      </c>
      <c r="D331" s="99" t="s">
        <v>1050</v>
      </c>
      <c r="E331" s="99" t="s">
        <v>1640</v>
      </c>
      <c r="F331" s="100">
        <v>91.88</v>
      </c>
      <c r="G331" s="100">
        <v>0</v>
      </c>
      <c r="H331" s="100">
        <f>F331*AE331</f>
        <v>0</v>
      </c>
      <c r="I331" s="100">
        <f>J331-H331</f>
        <v>0</v>
      </c>
      <c r="J331" s="100">
        <f>F331*G331</f>
        <v>0</v>
      </c>
      <c r="K331" s="100">
        <v>0.00559</v>
      </c>
      <c r="L331" s="100">
        <f>F331*K331</f>
        <v>0.5136092</v>
      </c>
      <c r="M331" s="101" t="s">
        <v>1667</v>
      </c>
      <c r="P331" s="14">
        <f>IF(AG331="5",J331,0)</f>
        <v>0</v>
      </c>
      <c r="R331" s="14">
        <f>IF(AG331="1",H331,0)</f>
        <v>0</v>
      </c>
      <c r="S331" s="14">
        <f>IF(AG331="1",I331,0)</f>
        <v>0</v>
      </c>
      <c r="T331" s="14">
        <f>IF(AG331="7",H331,0)</f>
        <v>0</v>
      </c>
      <c r="U331" s="14">
        <f>IF(AG331="7",I331,0)</f>
        <v>0</v>
      </c>
      <c r="V331" s="14">
        <f>IF(AG331="2",H331,0)</f>
        <v>0</v>
      </c>
      <c r="W331" s="14">
        <f>IF(AG331="2",I331,0)</f>
        <v>0</v>
      </c>
      <c r="X331" s="14">
        <f>IF(AG331="0",J331,0)</f>
        <v>0</v>
      </c>
      <c r="Y331" s="8" t="s">
        <v>406</v>
      </c>
      <c r="Z331" s="5">
        <f>IF(AD331=0,J331,0)</f>
        <v>0</v>
      </c>
      <c r="AA331" s="5">
        <f>IF(AD331=15,J331,0)</f>
        <v>0</v>
      </c>
      <c r="AB331" s="5">
        <f>IF(AD331=21,J331,0)</f>
        <v>0</v>
      </c>
      <c r="AD331" s="14">
        <v>15</v>
      </c>
      <c r="AE331" s="14">
        <f>G331*0.702346153846154</f>
        <v>0</v>
      </c>
      <c r="AF331" s="14">
        <f>G331*(1-0.702346153846154)</f>
        <v>0</v>
      </c>
      <c r="AG331" s="10" t="s">
        <v>13</v>
      </c>
      <c r="AM331" s="14">
        <f>F331*AE331</f>
        <v>0</v>
      </c>
      <c r="AN331" s="14">
        <f>F331*AF331</f>
        <v>0</v>
      </c>
      <c r="AO331" s="15" t="s">
        <v>1694</v>
      </c>
      <c r="AP331" s="15" t="s">
        <v>1731</v>
      </c>
      <c r="AQ331" s="8" t="s">
        <v>1769</v>
      </c>
      <c r="AS331" s="14">
        <f>AM331+AN331</f>
        <v>0</v>
      </c>
      <c r="AT331" s="14">
        <f>G331/(100-AU331)*100</f>
        <v>0</v>
      </c>
      <c r="AU331" s="14">
        <v>0</v>
      </c>
      <c r="AV331" s="14">
        <f>L331</f>
        <v>0.5136092</v>
      </c>
    </row>
    <row r="332" spans="1:13" ht="12.75">
      <c r="A332" s="102"/>
      <c r="B332" s="102"/>
      <c r="C332" s="102"/>
      <c r="D332" s="103" t="s">
        <v>1051</v>
      </c>
      <c r="E332" s="102"/>
      <c r="F332" s="104">
        <v>91.88</v>
      </c>
      <c r="G332" s="102"/>
      <c r="H332" s="102"/>
      <c r="I332" s="102"/>
      <c r="J332" s="102"/>
      <c r="K332" s="102"/>
      <c r="L332" s="102"/>
      <c r="M332" s="102"/>
    </row>
    <row r="333" spans="1:48" ht="12.75">
      <c r="A333" s="99" t="s">
        <v>86</v>
      </c>
      <c r="B333" s="99" t="s">
        <v>406</v>
      </c>
      <c r="C333" s="99" t="s">
        <v>496</v>
      </c>
      <c r="D333" s="99" t="s">
        <v>1050</v>
      </c>
      <c r="E333" s="99" t="s">
        <v>1640</v>
      </c>
      <c r="F333" s="100">
        <v>91.88</v>
      </c>
      <c r="G333" s="100">
        <v>0</v>
      </c>
      <c r="H333" s="100">
        <f>F333*AE333</f>
        <v>0</v>
      </c>
      <c r="I333" s="100">
        <f>J333-H333</f>
        <v>0</v>
      </c>
      <c r="J333" s="100">
        <f>F333*G333</f>
        <v>0</v>
      </c>
      <c r="K333" s="100">
        <v>0.00041</v>
      </c>
      <c r="L333" s="100">
        <f>F333*K333</f>
        <v>0.0376708</v>
      </c>
      <c r="M333" s="101" t="s">
        <v>1667</v>
      </c>
      <c r="P333" s="14">
        <f>IF(AG333="5",J333,0)</f>
        <v>0</v>
      </c>
      <c r="R333" s="14">
        <f>IF(AG333="1",H333,0)</f>
        <v>0</v>
      </c>
      <c r="S333" s="14">
        <f>IF(AG333="1",I333,0)</f>
        <v>0</v>
      </c>
      <c r="T333" s="14">
        <f>IF(AG333="7",H333,0)</f>
        <v>0</v>
      </c>
      <c r="U333" s="14">
        <f>IF(AG333="7",I333,0)</f>
        <v>0</v>
      </c>
      <c r="V333" s="14">
        <f>IF(AG333="2",H333,0)</f>
        <v>0</v>
      </c>
      <c r="W333" s="14">
        <f>IF(AG333="2",I333,0)</f>
        <v>0</v>
      </c>
      <c r="X333" s="14">
        <f>IF(AG333="0",J333,0)</f>
        <v>0</v>
      </c>
      <c r="Y333" s="8" t="s">
        <v>406</v>
      </c>
      <c r="Z333" s="5">
        <f>IF(AD333=0,J333,0)</f>
        <v>0</v>
      </c>
      <c r="AA333" s="5">
        <f>IF(AD333=15,J333,0)</f>
        <v>0</v>
      </c>
      <c r="AB333" s="5">
        <f>IF(AD333=21,J333,0)</f>
        <v>0</v>
      </c>
      <c r="AD333" s="14">
        <v>15</v>
      </c>
      <c r="AE333" s="14">
        <f>G333*0.093559718969555</f>
        <v>0</v>
      </c>
      <c r="AF333" s="14">
        <f>G333*(1-0.093559718969555)</f>
        <v>0</v>
      </c>
      <c r="AG333" s="10" t="s">
        <v>13</v>
      </c>
      <c r="AM333" s="14">
        <f>F333*AE333</f>
        <v>0</v>
      </c>
      <c r="AN333" s="14">
        <f>F333*AF333</f>
        <v>0</v>
      </c>
      <c r="AO333" s="15" t="s">
        <v>1694</v>
      </c>
      <c r="AP333" s="15" t="s">
        <v>1731</v>
      </c>
      <c r="AQ333" s="8" t="s">
        <v>1769</v>
      </c>
      <c r="AS333" s="14">
        <f>AM333+AN333</f>
        <v>0</v>
      </c>
      <c r="AT333" s="14">
        <f>G333/(100-AU333)*100</f>
        <v>0</v>
      </c>
      <c r="AU333" s="14">
        <v>0</v>
      </c>
      <c r="AV333" s="14">
        <f>L333</f>
        <v>0.0376708</v>
      </c>
    </row>
    <row r="334" spans="1:48" ht="12.75">
      <c r="A334" s="105" t="s">
        <v>87</v>
      </c>
      <c r="B334" s="105" t="s">
        <v>406</v>
      </c>
      <c r="C334" s="105" t="s">
        <v>497</v>
      </c>
      <c r="D334" s="105" t="s">
        <v>1052</v>
      </c>
      <c r="E334" s="105" t="s">
        <v>1640</v>
      </c>
      <c r="F334" s="106">
        <v>101.07</v>
      </c>
      <c r="G334" s="106">
        <v>0</v>
      </c>
      <c r="H334" s="106">
        <f>F334*AE334</f>
        <v>0</v>
      </c>
      <c r="I334" s="106">
        <f>J334-H334</f>
        <v>0</v>
      </c>
      <c r="J334" s="106">
        <f>F334*G334</f>
        <v>0</v>
      </c>
      <c r="K334" s="106">
        <v>0.0045</v>
      </c>
      <c r="L334" s="106">
        <f>F334*K334</f>
        <v>0.4548149999999999</v>
      </c>
      <c r="M334" s="107" t="s">
        <v>1667</v>
      </c>
      <c r="P334" s="14">
        <f>IF(AG334="5",J334,0)</f>
        <v>0</v>
      </c>
      <c r="R334" s="14">
        <f>IF(AG334="1",H334,0)</f>
        <v>0</v>
      </c>
      <c r="S334" s="14">
        <f>IF(AG334="1",I334,0)</f>
        <v>0</v>
      </c>
      <c r="T334" s="14">
        <f>IF(AG334="7",H334,0)</f>
        <v>0</v>
      </c>
      <c r="U334" s="14">
        <f>IF(AG334="7",I334,0)</f>
        <v>0</v>
      </c>
      <c r="V334" s="14">
        <f>IF(AG334="2",H334,0)</f>
        <v>0</v>
      </c>
      <c r="W334" s="14">
        <f>IF(AG334="2",I334,0)</f>
        <v>0</v>
      </c>
      <c r="X334" s="14">
        <f>IF(AG334="0",J334,0)</f>
        <v>0</v>
      </c>
      <c r="Y334" s="8" t="s">
        <v>406</v>
      </c>
      <c r="Z334" s="6">
        <f>IF(AD334=0,J334,0)</f>
        <v>0</v>
      </c>
      <c r="AA334" s="6">
        <f>IF(AD334=15,J334,0)</f>
        <v>0</v>
      </c>
      <c r="AB334" s="6">
        <f>IF(AD334=21,J334,0)</f>
        <v>0</v>
      </c>
      <c r="AD334" s="14">
        <v>15</v>
      </c>
      <c r="AE334" s="14">
        <f>G334*1</f>
        <v>0</v>
      </c>
      <c r="AF334" s="14">
        <f>G334*(1-1)</f>
        <v>0</v>
      </c>
      <c r="AG334" s="11" t="s">
        <v>13</v>
      </c>
      <c r="AM334" s="14">
        <f>F334*AE334</f>
        <v>0</v>
      </c>
      <c r="AN334" s="14">
        <f>F334*AF334</f>
        <v>0</v>
      </c>
      <c r="AO334" s="15" t="s">
        <v>1694</v>
      </c>
      <c r="AP334" s="15" t="s">
        <v>1731</v>
      </c>
      <c r="AQ334" s="8" t="s">
        <v>1769</v>
      </c>
      <c r="AS334" s="14">
        <f>AM334+AN334</f>
        <v>0</v>
      </c>
      <c r="AT334" s="14">
        <f>G334/(100-AU334)*100</f>
        <v>0</v>
      </c>
      <c r="AU334" s="14">
        <v>0</v>
      </c>
      <c r="AV334" s="14">
        <f>L334</f>
        <v>0.4548149999999999</v>
      </c>
    </row>
    <row r="335" spans="1:13" ht="12.75">
      <c r="A335" s="102"/>
      <c r="B335" s="102"/>
      <c r="C335" s="102"/>
      <c r="D335" s="103" t="s">
        <v>1053</v>
      </c>
      <c r="E335" s="102"/>
      <c r="F335" s="104">
        <v>101.07</v>
      </c>
      <c r="G335" s="102"/>
      <c r="H335" s="102"/>
      <c r="I335" s="102"/>
      <c r="J335" s="102"/>
      <c r="K335" s="102"/>
      <c r="L335" s="102"/>
      <c r="M335" s="102"/>
    </row>
    <row r="336" spans="1:48" ht="12.75">
      <c r="A336" s="99" t="s">
        <v>88</v>
      </c>
      <c r="B336" s="99" t="s">
        <v>406</v>
      </c>
      <c r="C336" s="99" t="s">
        <v>498</v>
      </c>
      <c r="D336" s="99" t="s">
        <v>1054</v>
      </c>
      <c r="E336" s="99" t="s">
        <v>1640</v>
      </c>
      <c r="F336" s="100">
        <v>21.43</v>
      </c>
      <c r="G336" s="100">
        <v>0</v>
      </c>
      <c r="H336" s="100">
        <f>F336*AE336</f>
        <v>0</v>
      </c>
      <c r="I336" s="100">
        <f>J336-H336</f>
        <v>0</v>
      </c>
      <c r="J336" s="100">
        <f>F336*G336</f>
        <v>0</v>
      </c>
      <c r="K336" s="100">
        <v>0.00021</v>
      </c>
      <c r="L336" s="100">
        <f>F336*K336</f>
        <v>0.0045003000000000005</v>
      </c>
      <c r="M336" s="101" t="s">
        <v>1667</v>
      </c>
      <c r="P336" s="14">
        <f>IF(AG336="5",J336,0)</f>
        <v>0</v>
      </c>
      <c r="R336" s="14">
        <f>IF(AG336="1",H336,0)</f>
        <v>0</v>
      </c>
      <c r="S336" s="14">
        <f>IF(AG336="1",I336,0)</f>
        <v>0</v>
      </c>
      <c r="T336" s="14">
        <f>IF(AG336="7",H336,0)</f>
        <v>0</v>
      </c>
      <c r="U336" s="14">
        <f>IF(AG336="7",I336,0)</f>
        <v>0</v>
      </c>
      <c r="V336" s="14">
        <f>IF(AG336="2",H336,0)</f>
        <v>0</v>
      </c>
      <c r="W336" s="14">
        <f>IF(AG336="2",I336,0)</f>
        <v>0</v>
      </c>
      <c r="X336" s="14">
        <f>IF(AG336="0",J336,0)</f>
        <v>0</v>
      </c>
      <c r="Y336" s="8" t="s">
        <v>406</v>
      </c>
      <c r="Z336" s="5">
        <f>IF(AD336=0,J336,0)</f>
        <v>0</v>
      </c>
      <c r="AA336" s="5">
        <f>IF(AD336=15,J336,0)</f>
        <v>0</v>
      </c>
      <c r="AB336" s="5">
        <f>IF(AD336=21,J336,0)</f>
        <v>0</v>
      </c>
      <c r="AD336" s="14">
        <v>15</v>
      </c>
      <c r="AE336" s="14">
        <f>G336*0.392130773617183</f>
        <v>0</v>
      </c>
      <c r="AF336" s="14">
        <f>G336*(1-0.392130773617183)</f>
        <v>0</v>
      </c>
      <c r="AG336" s="10" t="s">
        <v>13</v>
      </c>
      <c r="AM336" s="14">
        <f>F336*AE336</f>
        <v>0</v>
      </c>
      <c r="AN336" s="14">
        <f>F336*AF336</f>
        <v>0</v>
      </c>
      <c r="AO336" s="15" t="s">
        <v>1694</v>
      </c>
      <c r="AP336" s="15" t="s">
        <v>1731</v>
      </c>
      <c r="AQ336" s="8" t="s">
        <v>1769</v>
      </c>
      <c r="AS336" s="14">
        <f>AM336+AN336</f>
        <v>0</v>
      </c>
      <c r="AT336" s="14">
        <f>G336/(100-AU336)*100</f>
        <v>0</v>
      </c>
      <c r="AU336" s="14">
        <v>0</v>
      </c>
      <c r="AV336" s="14">
        <f>L336</f>
        <v>0.0045003000000000005</v>
      </c>
    </row>
    <row r="337" spans="1:13" ht="12.75">
      <c r="A337" s="102"/>
      <c r="B337" s="102"/>
      <c r="C337" s="102"/>
      <c r="D337" s="103" t="s">
        <v>1055</v>
      </c>
      <c r="E337" s="102"/>
      <c r="F337" s="104">
        <v>3.44</v>
      </c>
      <c r="G337" s="102"/>
      <c r="H337" s="102"/>
      <c r="I337" s="102"/>
      <c r="J337" s="102"/>
      <c r="K337" s="102"/>
      <c r="L337" s="102"/>
      <c r="M337" s="102"/>
    </row>
    <row r="338" spans="1:13" ht="12.75">
      <c r="A338" s="102"/>
      <c r="B338" s="102"/>
      <c r="C338" s="102"/>
      <c r="D338" s="103" t="s">
        <v>17</v>
      </c>
      <c r="E338" s="102"/>
      <c r="F338" s="104">
        <v>11</v>
      </c>
      <c r="G338" s="102"/>
      <c r="H338" s="102"/>
      <c r="I338" s="102"/>
      <c r="J338" s="102"/>
      <c r="K338" s="102"/>
      <c r="L338" s="102"/>
      <c r="M338" s="102"/>
    </row>
    <row r="339" spans="1:13" ht="12.75">
      <c r="A339" s="102"/>
      <c r="B339" s="102"/>
      <c r="C339" s="102"/>
      <c r="D339" s="103" t="s">
        <v>1056</v>
      </c>
      <c r="E339" s="102"/>
      <c r="F339" s="104">
        <v>5.2</v>
      </c>
      <c r="G339" s="102"/>
      <c r="H339" s="102"/>
      <c r="I339" s="102"/>
      <c r="J339" s="102"/>
      <c r="K339" s="102"/>
      <c r="L339" s="102"/>
      <c r="M339" s="102"/>
    </row>
    <row r="340" spans="1:13" ht="12.75">
      <c r="A340" s="102"/>
      <c r="B340" s="102"/>
      <c r="C340" s="102"/>
      <c r="D340" s="103" t="s">
        <v>1057</v>
      </c>
      <c r="E340" s="102"/>
      <c r="F340" s="104">
        <v>2.49</v>
      </c>
      <c r="G340" s="102"/>
      <c r="H340" s="102"/>
      <c r="I340" s="102"/>
      <c r="J340" s="102"/>
      <c r="K340" s="102"/>
      <c r="L340" s="102"/>
      <c r="M340" s="102"/>
    </row>
    <row r="341" spans="1:13" ht="12.75">
      <c r="A341" s="102"/>
      <c r="B341" s="102"/>
      <c r="C341" s="102"/>
      <c r="D341" s="103" t="s">
        <v>1058</v>
      </c>
      <c r="E341" s="102"/>
      <c r="F341" s="104">
        <v>-0.7</v>
      </c>
      <c r="G341" s="102"/>
      <c r="H341" s="102"/>
      <c r="I341" s="102"/>
      <c r="J341" s="102"/>
      <c r="K341" s="102"/>
      <c r="L341" s="102"/>
      <c r="M341" s="102"/>
    </row>
    <row r="342" spans="1:48" ht="12.75">
      <c r="A342" s="99" t="s">
        <v>89</v>
      </c>
      <c r="B342" s="99" t="s">
        <v>406</v>
      </c>
      <c r="C342" s="99" t="s">
        <v>499</v>
      </c>
      <c r="D342" s="99" t="s">
        <v>1059</v>
      </c>
      <c r="E342" s="99" t="s">
        <v>1640</v>
      </c>
      <c r="F342" s="100">
        <v>21.43</v>
      </c>
      <c r="G342" s="100">
        <v>0</v>
      </c>
      <c r="H342" s="100">
        <f>F342*AE342</f>
        <v>0</v>
      </c>
      <c r="I342" s="100">
        <f>J342-H342</f>
        <v>0</v>
      </c>
      <c r="J342" s="100">
        <f>F342*G342</f>
        <v>0</v>
      </c>
      <c r="K342" s="100">
        <v>0.00368</v>
      </c>
      <c r="L342" s="100">
        <f>F342*K342</f>
        <v>0.0788624</v>
      </c>
      <c r="M342" s="101" t="s">
        <v>1667</v>
      </c>
      <c r="P342" s="14">
        <f>IF(AG342="5",J342,0)</f>
        <v>0</v>
      </c>
      <c r="R342" s="14">
        <f>IF(AG342="1",H342,0)</f>
        <v>0</v>
      </c>
      <c r="S342" s="14">
        <f>IF(AG342="1",I342,0)</f>
        <v>0</v>
      </c>
      <c r="T342" s="14">
        <f>IF(AG342="7",H342,0)</f>
        <v>0</v>
      </c>
      <c r="U342" s="14">
        <f>IF(AG342="7",I342,0)</f>
        <v>0</v>
      </c>
      <c r="V342" s="14">
        <f>IF(AG342="2",H342,0)</f>
        <v>0</v>
      </c>
      <c r="W342" s="14">
        <f>IF(AG342="2",I342,0)</f>
        <v>0</v>
      </c>
      <c r="X342" s="14">
        <f>IF(AG342="0",J342,0)</f>
        <v>0</v>
      </c>
      <c r="Y342" s="8" t="s">
        <v>406</v>
      </c>
      <c r="Z342" s="5">
        <f>IF(AD342=0,J342,0)</f>
        <v>0</v>
      </c>
      <c r="AA342" s="5">
        <f>IF(AD342=15,J342,0)</f>
        <v>0</v>
      </c>
      <c r="AB342" s="5">
        <f>IF(AD342=21,J342,0)</f>
        <v>0</v>
      </c>
      <c r="AD342" s="14">
        <v>15</v>
      </c>
      <c r="AE342" s="14">
        <f>G342*0.615772416276557</f>
        <v>0</v>
      </c>
      <c r="AF342" s="14">
        <f>G342*(1-0.615772416276557)</f>
        <v>0</v>
      </c>
      <c r="AG342" s="10" t="s">
        <v>13</v>
      </c>
      <c r="AM342" s="14">
        <f>F342*AE342</f>
        <v>0</v>
      </c>
      <c r="AN342" s="14">
        <f>F342*AF342</f>
        <v>0</v>
      </c>
      <c r="AO342" s="15" t="s">
        <v>1694</v>
      </c>
      <c r="AP342" s="15" t="s">
        <v>1731</v>
      </c>
      <c r="AQ342" s="8" t="s">
        <v>1769</v>
      </c>
      <c r="AS342" s="14">
        <f>AM342+AN342</f>
        <v>0</v>
      </c>
      <c r="AT342" s="14">
        <f>G342/(100-AU342)*100</f>
        <v>0</v>
      </c>
      <c r="AU342" s="14">
        <v>0</v>
      </c>
      <c r="AV342" s="14">
        <f>L342</f>
        <v>0.0788624</v>
      </c>
    </row>
    <row r="343" spans="1:48" ht="12.75">
      <c r="A343" s="99" t="s">
        <v>90</v>
      </c>
      <c r="B343" s="99" t="s">
        <v>406</v>
      </c>
      <c r="C343" s="99" t="s">
        <v>500</v>
      </c>
      <c r="D343" s="99" t="s">
        <v>1060</v>
      </c>
      <c r="E343" s="99" t="s">
        <v>1643</v>
      </c>
      <c r="F343" s="100">
        <v>14.81</v>
      </c>
      <c r="G343" s="100">
        <v>0</v>
      </c>
      <c r="H343" s="100">
        <f>F343*AE343</f>
        <v>0</v>
      </c>
      <c r="I343" s="100">
        <f>J343-H343</f>
        <v>0</v>
      </c>
      <c r="J343" s="100">
        <f>F343*G343</f>
        <v>0</v>
      </c>
      <c r="K343" s="100">
        <v>0.00015</v>
      </c>
      <c r="L343" s="100">
        <f>F343*K343</f>
        <v>0.0022215</v>
      </c>
      <c r="M343" s="101" t="s">
        <v>1667</v>
      </c>
      <c r="P343" s="14">
        <f>IF(AG343="5",J343,0)</f>
        <v>0</v>
      </c>
      <c r="R343" s="14">
        <f>IF(AG343="1",H343,0)</f>
        <v>0</v>
      </c>
      <c r="S343" s="14">
        <f>IF(AG343="1",I343,0)</f>
        <v>0</v>
      </c>
      <c r="T343" s="14">
        <f>IF(AG343="7",H343,0)</f>
        <v>0</v>
      </c>
      <c r="U343" s="14">
        <f>IF(AG343="7",I343,0)</f>
        <v>0</v>
      </c>
      <c r="V343" s="14">
        <f>IF(AG343="2",H343,0)</f>
        <v>0</v>
      </c>
      <c r="W343" s="14">
        <f>IF(AG343="2",I343,0)</f>
        <v>0</v>
      </c>
      <c r="X343" s="14">
        <f>IF(AG343="0",J343,0)</f>
        <v>0</v>
      </c>
      <c r="Y343" s="8" t="s">
        <v>406</v>
      </c>
      <c r="Z343" s="5">
        <f>IF(AD343=0,J343,0)</f>
        <v>0</v>
      </c>
      <c r="AA343" s="5">
        <f>IF(AD343=15,J343,0)</f>
        <v>0</v>
      </c>
      <c r="AB343" s="5">
        <f>IF(AD343=21,J343,0)</f>
        <v>0</v>
      </c>
      <c r="AD343" s="14">
        <v>15</v>
      </c>
      <c r="AE343" s="14">
        <f>G343*0.639305972639306</f>
        <v>0</v>
      </c>
      <c r="AF343" s="14">
        <f>G343*(1-0.639305972639306)</f>
        <v>0</v>
      </c>
      <c r="AG343" s="10" t="s">
        <v>13</v>
      </c>
      <c r="AM343" s="14">
        <f>F343*AE343</f>
        <v>0</v>
      </c>
      <c r="AN343" s="14">
        <f>F343*AF343</f>
        <v>0</v>
      </c>
      <c r="AO343" s="15" t="s">
        <v>1694</v>
      </c>
      <c r="AP343" s="15" t="s">
        <v>1731</v>
      </c>
      <c r="AQ343" s="8" t="s">
        <v>1769</v>
      </c>
      <c r="AS343" s="14">
        <f>AM343+AN343</f>
        <v>0</v>
      </c>
      <c r="AT343" s="14">
        <f>G343/(100-AU343)*100</f>
        <v>0</v>
      </c>
      <c r="AU343" s="14">
        <v>0</v>
      </c>
      <c r="AV343" s="14">
        <f>L343</f>
        <v>0.0022215</v>
      </c>
    </row>
    <row r="344" spans="1:13" ht="12.75">
      <c r="A344" s="102"/>
      <c r="B344" s="102"/>
      <c r="C344" s="102"/>
      <c r="D344" s="103" t="s">
        <v>1061</v>
      </c>
      <c r="E344" s="102"/>
      <c r="F344" s="104">
        <v>13.99</v>
      </c>
      <c r="G344" s="102"/>
      <c r="H344" s="102"/>
      <c r="I344" s="102"/>
      <c r="J344" s="102"/>
      <c r="K344" s="102"/>
      <c r="L344" s="102"/>
      <c r="M344" s="102"/>
    </row>
    <row r="345" spans="1:13" ht="12.75">
      <c r="A345" s="102"/>
      <c r="B345" s="102"/>
      <c r="C345" s="102"/>
      <c r="D345" s="103" t="s">
        <v>1062</v>
      </c>
      <c r="E345" s="102"/>
      <c r="F345" s="104">
        <v>1.52</v>
      </c>
      <c r="G345" s="102"/>
      <c r="H345" s="102"/>
      <c r="I345" s="102"/>
      <c r="J345" s="102"/>
      <c r="K345" s="102"/>
      <c r="L345" s="102"/>
      <c r="M345" s="102"/>
    </row>
    <row r="346" spans="1:13" ht="12.75">
      <c r="A346" s="102"/>
      <c r="B346" s="102"/>
      <c r="C346" s="102"/>
      <c r="D346" s="103" t="s">
        <v>1058</v>
      </c>
      <c r="E346" s="102"/>
      <c r="F346" s="104">
        <v>-0.7</v>
      </c>
      <c r="G346" s="102"/>
      <c r="H346" s="102"/>
      <c r="I346" s="102"/>
      <c r="J346" s="102"/>
      <c r="K346" s="102"/>
      <c r="L346" s="102"/>
      <c r="M346" s="102"/>
    </row>
    <row r="347" spans="1:48" ht="12.75">
      <c r="A347" s="99" t="s">
        <v>91</v>
      </c>
      <c r="B347" s="99" t="s">
        <v>406</v>
      </c>
      <c r="C347" s="99" t="s">
        <v>501</v>
      </c>
      <c r="D347" s="99" t="s">
        <v>1063</v>
      </c>
      <c r="E347" s="99" t="s">
        <v>1642</v>
      </c>
      <c r="F347" s="100">
        <v>1.12</v>
      </c>
      <c r="G347" s="100">
        <v>0</v>
      </c>
      <c r="H347" s="100">
        <f>F347*AE347</f>
        <v>0</v>
      </c>
      <c r="I347" s="100">
        <f>J347-H347</f>
        <v>0</v>
      </c>
      <c r="J347" s="100">
        <f>F347*G347</f>
        <v>0</v>
      </c>
      <c r="K347" s="100">
        <v>0</v>
      </c>
      <c r="L347" s="100">
        <f>F347*K347</f>
        <v>0</v>
      </c>
      <c r="M347" s="101" t="s">
        <v>1667</v>
      </c>
      <c r="P347" s="14">
        <f>IF(AG347="5",J347,0)</f>
        <v>0</v>
      </c>
      <c r="R347" s="14">
        <f>IF(AG347="1",H347,0)</f>
        <v>0</v>
      </c>
      <c r="S347" s="14">
        <f>IF(AG347="1",I347,0)</f>
        <v>0</v>
      </c>
      <c r="T347" s="14">
        <f>IF(AG347="7",H347,0)</f>
        <v>0</v>
      </c>
      <c r="U347" s="14">
        <f>IF(AG347="7",I347,0)</f>
        <v>0</v>
      </c>
      <c r="V347" s="14">
        <f>IF(AG347="2",H347,0)</f>
        <v>0</v>
      </c>
      <c r="W347" s="14">
        <f>IF(AG347="2",I347,0)</f>
        <v>0</v>
      </c>
      <c r="X347" s="14">
        <f>IF(AG347="0",J347,0)</f>
        <v>0</v>
      </c>
      <c r="Y347" s="8" t="s">
        <v>406</v>
      </c>
      <c r="Z347" s="5">
        <f>IF(AD347=0,J347,0)</f>
        <v>0</v>
      </c>
      <c r="AA347" s="5">
        <f>IF(AD347=15,J347,0)</f>
        <v>0</v>
      </c>
      <c r="AB347" s="5">
        <f>IF(AD347=21,J347,0)</f>
        <v>0</v>
      </c>
      <c r="AD347" s="14">
        <v>15</v>
      </c>
      <c r="AE347" s="14">
        <f>G347*0</f>
        <v>0</v>
      </c>
      <c r="AF347" s="14">
        <f>G347*(1-0)</f>
        <v>0</v>
      </c>
      <c r="AG347" s="10" t="s">
        <v>11</v>
      </c>
      <c r="AM347" s="14">
        <f>F347*AE347</f>
        <v>0</v>
      </c>
      <c r="AN347" s="14">
        <f>F347*AF347</f>
        <v>0</v>
      </c>
      <c r="AO347" s="15" t="s">
        <v>1694</v>
      </c>
      <c r="AP347" s="15" t="s">
        <v>1731</v>
      </c>
      <c r="AQ347" s="8" t="s">
        <v>1769</v>
      </c>
      <c r="AS347" s="14">
        <f>AM347+AN347</f>
        <v>0</v>
      </c>
      <c r="AT347" s="14">
        <f>G347/(100-AU347)*100</f>
        <v>0</v>
      </c>
      <c r="AU347" s="14">
        <v>0</v>
      </c>
      <c r="AV347" s="14">
        <f>L347</f>
        <v>0</v>
      </c>
    </row>
    <row r="348" spans="1:37" ht="12.75">
      <c r="A348" s="93"/>
      <c r="B348" s="94" t="s">
        <v>406</v>
      </c>
      <c r="C348" s="94" t="s">
        <v>502</v>
      </c>
      <c r="D348" s="95" t="s">
        <v>1064</v>
      </c>
      <c r="E348" s="96"/>
      <c r="F348" s="96"/>
      <c r="G348" s="96"/>
      <c r="H348" s="97">
        <f>SUM(H349:H355)</f>
        <v>0</v>
      </c>
      <c r="I348" s="97">
        <f>SUM(I349:I355)</f>
        <v>0</v>
      </c>
      <c r="J348" s="97">
        <f>H348+I348</f>
        <v>0</v>
      </c>
      <c r="K348" s="98"/>
      <c r="L348" s="97">
        <f>SUM(L349:L355)</f>
        <v>0.055106300000000004</v>
      </c>
      <c r="M348" s="98"/>
      <c r="Y348" s="8" t="s">
        <v>406</v>
      </c>
      <c r="AI348" s="16">
        <f>SUM(Z349:Z355)</f>
        <v>0</v>
      </c>
      <c r="AJ348" s="16">
        <f>SUM(AA349:AA355)</f>
        <v>0</v>
      </c>
      <c r="AK348" s="16">
        <f>SUM(AB349:AB355)</f>
        <v>0</v>
      </c>
    </row>
    <row r="349" spans="1:48" ht="12.75">
      <c r="A349" s="99" t="s">
        <v>92</v>
      </c>
      <c r="B349" s="99" t="s">
        <v>406</v>
      </c>
      <c r="C349" s="99" t="s">
        <v>503</v>
      </c>
      <c r="D349" s="99" t="s">
        <v>1065</v>
      </c>
      <c r="E349" s="99" t="s">
        <v>1640</v>
      </c>
      <c r="F349" s="100">
        <v>14.67</v>
      </c>
      <c r="G349" s="100">
        <v>0</v>
      </c>
      <c r="H349" s="100">
        <f>F349*AE349</f>
        <v>0</v>
      </c>
      <c r="I349" s="100">
        <f>J349-H349</f>
        <v>0</v>
      </c>
      <c r="J349" s="100">
        <f>F349*G349</f>
        <v>0</v>
      </c>
      <c r="K349" s="100">
        <v>0.00261</v>
      </c>
      <c r="L349" s="100">
        <f>F349*K349</f>
        <v>0.0382887</v>
      </c>
      <c r="M349" s="101" t="s">
        <v>1667</v>
      </c>
      <c r="P349" s="14">
        <f>IF(AG349="5",J349,0)</f>
        <v>0</v>
      </c>
      <c r="R349" s="14">
        <f>IF(AG349="1",H349,0)</f>
        <v>0</v>
      </c>
      <c r="S349" s="14">
        <f>IF(AG349="1",I349,0)</f>
        <v>0</v>
      </c>
      <c r="T349" s="14">
        <f>IF(AG349="7",H349,0)</f>
        <v>0</v>
      </c>
      <c r="U349" s="14">
        <f>IF(AG349="7",I349,0)</f>
        <v>0</v>
      </c>
      <c r="V349" s="14">
        <f>IF(AG349="2",H349,0)</f>
        <v>0</v>
      </c>
      <c r="W349" s="14">
        <f>IF(AG349="2",I349,0)</f>
        <v>0</v>
      </c>
      <c r="X349" s="14">
        <f>IF(AG349="0",J349,0)</f>
        <v>0</v>
      </c>
      <c r="Y349" s="8" t="s">
        <v>406</v>
      </c>
      <c r="Z349" s="5">
        <f>IF(AD349=0,J349,0)</f>
        <v>0</v>
      </c>
      <c r="AA349" s="5">
        <f>IF(AD349=15,J349,0)</f>
        <v>0</v>
      </c>
      <c r="AB349" s="5">
        <f>IF(AD349=21,J349,0)</f>
        <v>0</v>
      </c>
      <c r="AD349" s="14">
        <v>15</v>
      </c>
      <c r="AE349" s="14">
        <f>G349*0.661953352769679</f>
        <v>0</v>
      </c>
      <c r="AF349" s="14">
        <f>G349*(1-0.661953352769679)</f>
        <v>0</v>
      </c>
      <c r="AG349" s="10" t="s">
        <v>13</v>
      </c>
      <c r="AM349" s="14">
        <f>F349*AE349</f>
        <v>0</v>
      </c>
      <c r="AN349" s="14">
        <f>F349*AF349</f>
        <v>0</v>
      </c>
      <c r="AO349" s="15" t="s">
        <v>1695</v>
      </c>
      <c r="AP349" s="15" t="s">
        <v>1731</v>
      </c>
      <c r="AQ349" s="8" t="s">
        <v>1769</v>
      </c>
      <c r="AS349" s="14">
        <f>AM349+AN349</f>
        <v>0</v>
      </c>
      <c r="AT349" s="14">
        <f>G349/(100-AU349)*100</f>
        <v>0</v>
      </c>
      <c r="AU349" s="14">
        <v>0</v>
      </c>
      <c r="AV349" s="14">
        <f>L349</f>
        <v>0.0382887</v>
      </c>
    </row>
    <row r="350" spans="1:13" ht="12.75">
      <c r="A350" s="102"/>
      <c r="B350" s="102"/>
      <c r="C350" s="102"/>
      <c r="D350" s="103" t="s">
        <v>1066</v>
      </c>
      <c r="E350" s="102"/>
      <c r="F350" s="104">
        <v>10.01</v>
      </c>
      <c r="G350" s="102"/>
      <c r="H350" s="102"/>
      <c r="I350" s="102"/>
      <c r="J350" s="102"/>
      <c r="K350" s="102"/>
      <c r="L350" s="102"/>
      <c r="M350" s="102"/>
    </row>
    <row r="351" spans="1:13" ht="12.75">
      <c r="A351" s="102"/>
      <c r="B351" s="102"/>
      <c r="C351" s="102"/>
      <c r="D351" s="103" t="s">
        <v>1067</v>
      </c>
      <c r="E351" s="102"/>
      <c r="F351" s="104">
        <v>3.58</v>
      </c>
      <c r="G351" s="102"/>
      <c r="H351" s="102"/>
      <c r="I351" s="102"/>
      <c r="J351" s="102"/>
      <c r="K351" s="102"/>
      <c r="L351" s="102"/>
      <c r="M351" s="102"/>
    </row>
    <row r="352" spans="1:13" ht="12.75">
      <c r="A352" s="102"/>
      <c r="B352" s="102"/>
      <c r="C352" s="102"/>
      <c r="D352" s="103" t="s">
        <v>1068</v>
      </c>
      <c r="E352" s="102"/>
      <c r="F352" s="104">
        <v>1.08</v>
      </c>
      <c r="G352" s="102"/>
      <c r="H352" s="102"/>
      <c r="I352" s="102"/>
      <c r="J352" s="102"/>
      <c r="K352" s="102"/>
      <c r="L352" s="102"/>
      <c r="M352" s="102"/>
    </row>
    <row r="353" spans="1:48" ht="12.75">
      <c r="A353" s="99" t="s">
        <v>93</v>
      </c>
      <c r="B353" s="99" t="s">
        <v>406</v>
      </c>
      <c r="C353" s="99" t="s">
        <v>504</v>
      </c>
      <c r="D353" s="99" t="s">
        <v>1069</v>
      </c>
      <c r="E353" s="99" t="s">
        <v>1643</v>
      </c>
      <c r="F353" s="100">
        <v>9.14</v>
      </c>
      <c r="G353" s="100">
        <v>0</v>
      </c>
      <c r="H353" s="100">
        <f>F353*AE353</f>
        <v>0</v>
      </c>
      <c r="I353" s="100">
        <f>J353-H353</f>
        <v>0</v>
      </c>
      <c r="J353" s="100">
        <f>F353*G353</f>
        <v>0</v>
      </c>
      <c r="K353" s="100">
        <v>0.00184</v>
      </c>
      <c r="L353" s="100">
        <f>F353*K353</f>
        <v>0.016817600000000002</v>
      </c>
      <c r="M353" s="101" t="s">
        <v>1667</v>
      </c>
      <c r="P353" s="14">
        <f>IF(AG353="5",J353,0)</f>
        <v>0</v>
      </c>
      <c r="R353" s="14">
        <f>IF(AG353="1",H353,0)</f>
        <v>0</v>
      </c>
      <c r="S353" s="14">
        <f>IF(AG353="1",I353,0)</f>
        <v>0</v>
      </c>
      <c r="T353" s="14">
        <f>IF(AG353="7",H353,0)</f>
        <v>0</v>
      </c>
      <c r="U353" s="14">
        <f>IF(AG353="7",I353,0)</f>
        <v>0</v>
      </c>
      <c r="V353" s="14">
        <f>IF(AG353="2",H353,0)</f>
        <v>0</v>
      </c>
      <c r="W353" s="14">
        <f>IF(AG353="2",I353,0)</f>
        <v>0</v>
      </c>
      <c r="X353" s="14">
        <f>IF(AG353="0",J353,0)</f>
        <v>0</v>
      </c>
      <c r="Y353" s="8" t="s">
        <v>406</v>
      </c>
      <c r="Z353" s="5">
        <f>IF(AD353=0,J353,0)</f>
        <v>0</v>
      </c>
      <c r="AA353" s="5">
        <f>IF(AD353=15,J353,0)</f>
        <v>0</v>
      </c>
      <c r="AB353" s="5">
        <f>IF(AD353=21,J353,0)</f>
        <v>0</v>
      </c>
      <c r="AD353" s="14">
        <v>15</v>
      </c>
      <c r="AE353" s="14">
        <f>G353*0.58455764565884</f>
        <v>0</v>
      </c>
      <c r="AF353" s="14">
        <f>G353*(1-0.58455764565884)</f>
        <v>0</v>
      </c>
      <c r="AG353" s="10" t="s">
        <v>13</v>
      </c>
      <c r="AM353" s="14">
        <f>F353*AE353</f>
        <v>0</v>
      </c>
      <c r="AN353" s="14">
        <f>F353*AF353</f>
        <v>0</v>
      </c>
      <c r="AO353" s="15" t="s">
        <v>1695</v>
      </c>
      <c r="AP353" s="15" t="s">
        <v>1731</v>
      </c>
      <c r="AQ353" s="8" t="s">
        <v>1769</v>
      </c>
      <c r="AS353" s="14">
        <f>AM353+AN353</f>
        <v>0</v>
      </c>
      <c r="AT353" s="14">
        <f>G353/(100-AU353)*100</f>
        <v>0</v>
      </c>
      <c r="AU353" s="14">
        <v>0</v>
      </c>
      <c r="AV353" s="14">
        <f>L353</f>
        <v>0.016817600000000002</v>
      </c>
    </row>
    <row r="354" spans="1:13" ht="12.75">
      <c r="A354" s="102"/>
      <c r="B354" s="102"/>
      <c r="C354" s="102"/>
      <c r="D354" s="103" t="s">
        <v>1070</v>
      </c>
      <c r="E354" s="102"/>
      <c r="F354" s="104">
        <v>9.14</v>
      </c>
      <c r="G354" s="102"/>
      <c r="H354" s="102"/>
      <c r="I354" s="102"/>
      <c r="J354" s="102"/>
      <c r="K354" s="102"/>
      <c r="L354" s="102"/>
      <c r="M354" s="102"/>
    </row>
    <row r="355" spans="1:48" ht="12.75">
      <c r="A355" s="99" t="s">
        <v>94</v>
      </c>
      <c r="B355" s="99" t="s">
        <v>406</v>
      </c>
      <c r="C355" s="99" t="s">
        <v>505</v>
      </c>
      <c r="D355" s="99" t="s">
        <v>1071</v>
      </c>
      <c r="E355" s="99" t="s">
        <v>1642</v>
      </c>
      <c r="F355" s="100">
        <v>0.06</v>
      </c>
      <c r="G355" s="100">
        <v>0</v>
      </c>
      <c r="H355" s="100">
        <f>F355*AE355</f>
        <v>0</v>
      </c>
      <c r="I355" s="100">
        <f>J355-H355</f>
        <v>0</v>
      </c>
      <c r="J355" s="100">
        <f>F355*G355</f>
        <v>0</v>
      </c>
      <c r="K355" s="100">
        <v>0</v>
      </c>
      <c r="L355" s="100">
        <f>F355*K355</f>
        <v>0</v>
      </c>
      <c r="M355" s="101" t="s">
        <v>1667</v>
      </c>
      <c r="P355" s="14">
        <f>IF(AG355="5",J355,0)</f>
        <v>0</v>
      </c>
      <c r="R355" s="14">
        <f>IF(AG355="1",H355,0)</f>
        <v>0</v>
      </c>
      <c r="S355" s="14">
        <f>IF(AG355="1",I355,0)</f>
        <v>0</v>
      </c>
      <c r="T355" s="14">
        <f>IF(AG355="7",H355,0)</f>
        <v>0</v>
      </c>
      <c r="U355" s="14">
        <f>IF(AG355="7",I355,0)</f>
        <v>0</v>
      </c>
      <c r="V355" s="14">
        <f>IF(AG355="2",H355,0)</f>
        <v>0</v>
      </c>
      <c r="W355" s="14">
        <f>IF(AG355="2",I355,0)</f>
        <v>0</v>
      </c>
      <c r="X355" s="14">
        <f>IF(AG355="0",J355,0)</f>
        <v>0</v>
      </c>
      <c r="Y355" s="8" t="s">
        <v>406</v>
      </c>
      <c r="Z355" s="5">
        <f>IF(AD355=0,J355,0)</f>
        <v>0</v>
      </c>
      <c r="AA355" s="5">
        <f>IF(AD355=15,J355,0)</f>
        <v>0</v>
      </c>
      <c r="AB355" s="5">
        <f>IF(AD355=21,J355,0)</f>
        <v>0</v>
      </c>
      <c r="AD355" s="14">
        <v>15</v>
      </c>
      <c r="AE355" s="14">
        <f>G355*0</f>
        <v>0</v>
      </c>
      <c r="AF355" s="14">
        <f>G355*(1-0)</f>
        <v>0</v>
      </c>
      <c r="AG355" s="10" t="s">
        <v>11</v>
      </c>
      <c r="AM355" s="14">
        <f>F355*AE355</f>
        <v>0</v>
      </c>
      <c r="AN355" s="14">
        <f>F355*AF355</f>
        <v>0</v>
      </c>
      <c r="AO355" s="15" t="s">
        <v>1695</v>
      </c>
      <c r="AP355" s="15" t="s">
        <v>1731</v>
      </c>
      <c r="AQ355" s="8" t="s">
        <v>1769</v>
      </c>
      <c r="AS355" s="14">
        <f>AM355+AN355</f>
        <v>0</v>
      </c>
      <c r="AT355" s="14">
        <f>G355/(100-AU355)*100</f>
        <v>0</v>
      </c>
      <c r="AU355" s="14">
        <v>0</v>
      </c>
      <c r="AV355" s="14">
        <f>L355</f>
        <v>0</v>
      </c>
    </row>
    <row r="356" spans="1:37" ht="12.75">
      <c r="A356" s="93"/>
      <c r="B356" s="94" t="s">
        <v>406</v>
      </c>
      <c r="C356" s="94" t="s">
        <v>506</v>
      </c>
      <c r="D356" s="95" t="s">
        <v>1072</v>
      </c>
      <c r="E356" s="96"/>
      <c r="F356" s="96"/>
      <c r="G356" s="96"/>
      <c r="H356" s="97">
        <f>SUM(H357:H387)</f>
        <v>0</v>
      </c>
      <c r="I356" s="97">
        <f>SUM(I357:I387)</f>
        <v>0</v>
      </c>
      <c r="J356" s="97">
        <f>H356+I356</f>
        <v>0</v>
      </c>
      <c r="K356" s="98"/>
      <c r="L356" s="97">
        <f>SUM(L357:L387)</f>
        <v>0.5272979999999999</v>
      </c>
      <c r="M356" s="98"/>
      <c r="Y356" s="8" t="s">
        <v>406</v>
      </c>
      <c r="AI356" s="16">
        <f>SUM(Z357:Z387)</f>
        <v>0</v>
      </c>
      <c r="AJ356" s="16">
        <f>SUM(AA357:AA387)</f>
        <v>0</v>
      </c>
      <c r="AK356" s="16">
        <f>SUM(AB357:AB387)</f>
        <v>0</v>
      </c>
    </row>
    <row r="357" spans="1:48" ht="12.75">
      <c r="A357" s="99" t="s">
        <v>95</v>
      </c>
      <c r="B357" s="99" t="s">
        <v>406</v>
      </c>
      <c r="C357" s="99" t="s">
        <v>507</v>
      </c>
      <c r="D357" s="99" t="s">
        <v>1073</v>
      </c>
      <c r="E357" s="99" t="s">
        <v>1640</v>
      </c>
      <c r="F357" s="100">
        <v>82.87</v>
      </c>
      <c r="G357" s="100">
        <v>0</v>
      </c>
      <c r="H357" s="100">
        <f>F357*AE357</f>
        <v>0</v>
      </c>
      <c r="I357" s="100">
        <f>J357-H357</f>
        <v>0</v>
      </c>
      <c r="J357" s="100">
        <f>F357*G357</f>
        <v>0</v>
      </c>
      <c r="K357" s="100">
        <v>0</v>
      </c>
      <c r="L357" s="100">
        <f>F357*K357</f>
        <v>0</v>
      </c>
      <c r="M357" s="101" t="s">
        <v>1667</v>
      </c>
      <c r="P357" s="14">
        <f>IF(AG357="5",J357,0)</f>
        <v>0</v>
      </c>
      <c r="R357" s="14">
        <f>IF(AG357="1",H357,0)</f>
        <v>0</v>
      </c>
      <c r="S357" s="14">
        <f>IF(AG357="1",I357,0)</f>
        <v>0</v>
      </c>
      <c r="T357" s="14">
        <f>IF(AG357="7",H357,0)</f>
        <v>0</v>
      </c>
      <c r="U357" s="14">
        <f>IF(AG357="7",I357,0)</f>
        <v>0</v>
      </c>
      <c r="V357" s="14">
        <f>IF(AG357="2",H357,0)</f>
        <v>0</v>
      </c>
      <c r="W357" s="14">
        <f>IF(AG357="2",I357,0)</f>
        <v>0</v>
      </c>
      <c r="X357" s="14">
        <f>IF(AG357="0",J357,0)</f>
        <v>0</v>
      </c>
      <c r="Y357" s="8" t="s">
        <v>406</v>
      </c>
      <c r="Z357" s="5">
        <f>IF(AD357=0,J357,0)</f>
        <v>0</v>
      </c>
      <c r="AA357" s="5">
        <f>IF(AD357=15,J357,0)</f>
        <v>0</v>
      </c>
      <c r="AB357" s="5">
        <f>IF(AD357=21,J357,0)</f>
        <v>0</v>
      </c>
      <c r="AD357" s="14">
        <v>15</v>
      </c>
      <c r="AE357" s="14">
        <f>G357*0</f>
        <v>0</v>
      </c>
      <c r="AF357" s="14">
        <f>G357*(1-0)</f>
        <v>0</v>
      </c>
      <c r="AG357" s="10" t="s">
        <v>13</v>
      </c>
      <c r="AM357" s="14">
        <f>F357*AE357</f>
        <v>0</v>
      </c>
      <c r="AN357" s="14">
        <f>F357*AF357</f>
        <v>0</v>
      </c>
      <c r="AO357" s="15" t="s">
        <v>1696</v>
      </c>
      <c r="AP357" s="15" t="s">
        <v>1731</v>
      </c>
      <c r="AQ357" s="8" t="s">
        <v>1769</v>
      </c>
      <c r="AS357" s="14">
        <f>AM357+AN357</f>
        <v>0</v>
      </c>
      <c r="AT357" s="14">
        <f>G357/(100-AU357)*100</f>
        <v>0</v>
      </c>
      <c r="AU357" s="14">
        <v>0</v>
      </c>
      <c r="AV357" s="14">
        <f>L357</f>
        <v>0</v>
      </c>
    </row>
    <row r="358" spans="1:13" ht="12.75">
      <c r="A358" s="102"/>
      <c r="B358" s="102"/>
      <c r="C358" s="102"/>
      <c r="D358" s="103" t="s">
        <v>1074</v>
      </c>
      <c r="E358" s="102"/>
      <c r="F358" s="104">
        <v>82.87</v>
      </c>
      <c r="G358" s="102"/>
      <c r="H358" s="102"/>
      <c r="I358" s="102"/>
      <c r="J358" s="102"/>
      <c r="K358" s="102"/>
      <c r="L358" s="102"/>
      <c r="M358" s="102"/>
    </row>
    <row r="359" spans="1:48" ht="12.75">
      <c r="A359" s="105" t="s">
        <v>96</v>
      </c>
      <c r="B359" s="105" t="s">
        <v>406</v>
      </c>
      <c r="C359" s="105" t="s">
        <v>508</v>
      </c>
      <c r="D359" s="105" t="s">
        <v>1075</v>
      </c>
      <c r="E359" s="105" t="s">
        <v>1640</v>
      </c>
      <c r="F359" s="106">
        <v>82.66</v>
      </c>
      <c r="G359" s="106">
        <v>0</v>
      </c>
      <c r="H359" s="106">
        <f>F359*AE359</f>
        <v>0</v>
      </c>
      <c r="I359" s="106">
        <f>J359-H359</f>
        <v>0</v>
      </c>
      <c r="J359" s="106">
        <f>F359*G359</f>
        <v>0</v>
      </c>
      <c r="K359" s="106">
        <v>0.00214</v>
      </c>
      <c r="L359" s="106">
        <f>F359*K359</f>
        <v>0.17689239999999998</v>
      </c>
      <c r="M359" s="107" t="s">
        <v>1667</v>
      </c>
      <c r="P359" s="14">
        <f>IF(AG359="5",J359,0)</f>
        <v>0</v>
      </c>
      <c r="R359" s="14">
        <f>IF(AG359="1",H359,0)</f>
        <v>0</v>
      </c>
      <c r="S359" s="14">
        <f>IF(AG359="1",I359,0)</f>
        <v>0</v>
      </c>
      <c r="T359" s="14">
        <f>IF(AG359="7",H359,0)</f>
        <v>0</v>
      </c>
      <c r="U359" s="14">
        <f>IF(AG359="7",I359,0)</f>
        <v>0</v>
      </c>
      <c r="V359" s="14">
        <f>IF(AG359="2",H359,0)</f>
        <v>0</v>
      </c>
      <c r="W359" s="14">
        <f>IF(AG359="2",I359,0)</f>
        <v>0</v>
      </c>
      <c r="X359" s="14">
        <f>IF(AG359="0",J359,0)</f>
        <v>0</v>
      </c>
      <c r="Y359" s="8" t="s">
        <v>406</v>
      </c>
      <c r="Z359" s="6">
        <f>IF(AD359=0,J359,0)</f>
        <v>0</v>
      </c>
      <c r="AA359" s="6">
        <f>IF(AD359=15,J359,0)</f>
        <v>0</v>
      </c>
      <c r="AB359" s="6">
        <f>IF(AD359=21,J359,0)</f>
        <v>0</v>
      </c>
      <c r="AD359" s="14">
        <v>15</v>
      </c>
      <c r="AE359" s="14">
        <f>G359*1</f>
        <v>0</v>
      </c>
      <c r="AF359" s="14">
        <f>G359*(1-1)</f>
        <v>0</v>
      </c>
      <c r="AG359" s="11" t="s">
        <v>13</v>
      </c>
      <c r="AM359" s="14">
        <f>F359*AE359</f>
        <v>0</v>
      </c>
      <c r="AN359" s="14">
        <f>F359*AF359</f>
        <v>0</v>
      </c>
      <c r="AO359" s="15" t="s">
        <v>1696</v>
      </c>
      <c r="AP359" s="15" t="s">
        <v>1731</v>
      </c>
      <c r="AQ359" s="8" t="s">
        <v>1769</v>
      </c>
      <c r="AS359" s="14">
        <f>AM359+AN359</f>
        <v>0</v>
      </c>
      <c r="AT359" s="14">
        <f>G359/(100-AU359)*100</f>
        <v>0</v>
      </c>
      <c r="AU359" s="14">
        <v>0</v>
      </c>
      <c r="AV359" s="14">
        <f>L359</f>
        <v>0.17689239999999998</v>
      </c>
    </row>
    <row r="360" spans="1:13" ht="12.75">
      <c r="A360" s="102"/>
      <c r="B360" s="102"/>
      <c r="C360" s="102"/>
      <c r="D360" s="103" t="s">
        <v>1076</v>
      </c>
      <c r="E360" s="102"/>
      <c r="F360" s="104">
        <v>82.66</v>
      </c>
      <c r="G360" s="102"/>
      <c r="H360" s="102"/>
      <c r="I360" s="102"/>
      <c r="J360" s="102"/>
      <c r="K360" s="102"/>
      <c r="L360" s="102"/>
      <c r="M360" s="102"/>
    </row>
    <row r="361" spans="1:48" ht="12.75">
      <c r="A361" s="99" t="s">
        <v>97</v>
      </c>
      <c r="B361" s="99" t="s">
        <v>406</v>
      </c>
      <c r="C361" s="99" t="s">
        <v>509</v>
      </c>
      <c r="D361" s="99" t="s">
        <v>1077</v>
      </c>
      <c r="E361" s="99" t="s">
        <v>1640</v>
      </c>
      <c r="F361" s="100">
        <v>82.87</v>
      </c>
      <c r="G361" s="100">
        <v>0</v>
      </c>
      <c r="H361" s="100">
        <f>F361*AE361</f>
        <v>0</v>
      </c>
      <c r="I361" s="100">
        <f>J361-H361</f>
        <v>0</v>
      </c>
      <c r="J361" s="100">
        <f>F361*G361</f>
        <v>0</v>
      </c>
      <c r="K361" s="100">
        <v>0.00018</v>
      </c>
      <c r="L361" s="100">
        <f>F361*K361</f>
        <v>0.014916600000000002</v>
      </c>
      <c r="M361" s="101" t="s">
        <v>1667</v>
      </c>
      <c r="P361" s="14">
        <f>IF(AG361="5",J361,0)</f>
        <v>0</v>
      </c>
      <c r="R361" s="14">
        <f>IF(AG361="1",H361,0)</f>
        <v>0</v>
      </c>
      <c r="S361" s="14">
        <f>IF(AG361="1",I361,0)</f>
        <v>0</v>
      </c>
      <c r="T361" s="14">
        <f>IF(AG361="7",H361,0)</f>
        <v>0</v>
      </c>
      <c r="U361" s="14">
        <f>IF(AG361="7",I361,0)</f>
        <v>0</v>
      </c>
      <c r="V361" s="14">
        <f>IF(AG361="2",H361,0)</f>
        <v>0</v>
      </c>
      <c r="W361" s="14">
        <f>IF(AG361="2",I361,0)</f>
        <v>0</v>
      </c>
      <c r="X361" s="14">
        <f>IF(AG361="0",J361,0)</f>
        <v>0</v>
      </c>
      <c r="Y361" s="8" t="s">
        <v>406</v>
      </c>
      <c r="Z361" s="5">
        <f>IF(AD361=0,J361,0)</f>
        <v>0</v>
      </c>
      <c r="AA361" s="5">
        <f>IF(AD361=15,J361,0)</f>
        <v>0</v>
      </c>
      <c r="AB361" s="5">
        <f>IF(AD361=21,J361,0)</f>
        <v>0</v>
      </c>
      <c r="AD361" s="14">
        <v>15</v>
      </c>
      <c r="AE361" s="14">
        <f>G361*0.336233367451382</f>
        <v>0</v>
      </c>
      <c r="AF361" s="14">
        <f>G361*(1-0.336233367451382)</f>
        <v>0</v>
      </c>
      <c r="AG361" s="10" t="s">
        <v>13</v>
      </c>
      <c r="AM361" s="14">
        <f>F361*AE361</f>
        <v>0</v>
      </c>
      <c r="AN361" s="14">
        <f>F361*AF361</f>
        <v>0</v>
      </c>
      <c r="AO361" s="15" t="s">
        <v>1696</v>
      </c>
      <c r="AP361" s="15" t="s">
        <v>1731</v>
      </c>
      <c r="AQ361" s="8" t="s">
        <v>1769</v>
      </c>
      <c r="AS361" s="14">
        <f>AM361+AN361</f>
        <v>0</v>
      </c>
      <c r="AT361" s="14">
        <f>G361/(100-AU361)*100</f>
        <v>0</v>
      </c>
      <c r="AU361" s="14">
        <v>0</v>
      </c>
      <c r="AV361" s="14">
        <f>L361</f>
        <v>0.014916600000000002</v>
      </c>
    </row>
    <row r="362" spans="1:13" ht="12.75">
      <c r="A362" s="102"/>
      <c r="B362" s="102"/>
      <c r="C362" s="102"/>
      <c r="D362" s="103" t="s">
        <v>1078</v>
      </c>
      <c r="E362" s="102"/>
      <c r="F362" s="104">
        <v>82.87</v>
      </c>
      <c r="G362" s="102"/>
      <c r="H362" s="102"/>
      <c r="I362" s="102"/>
      <c r="J362" s="102"/>
      <c r="K362" s="102"/>
      <c r="L362" s="102"/>
      <c r="M362" s="102"/>
    </row>
    <row r="363" spans="1:48" ht="12.75">
      <c r="A363" s="99" t="s">
        <v>98</v>
      </c>
      <c r="B363" s="99" t="s">
        <v>406</v>
      </c>
      <c r="C363" s="99" t="s">
        <v>510</v>
      </c>
      <c r="D363" s="99" t="s">
        <v>1079</v>
      </c>
      <c r="E363" s="99" t="s">
        <v>1640</v>
      </c>
      <c r="F363" s="100">
        <v>82.87</v>
      </c>
      <c r="G363" s="100">
        <v>0</v>
      </c>
      <c r="H363" s="100">
        <f>F363*AE363</f>
        <v>0</v>
      </c>
      <c r="I363" s="100">
        <f>J363-H363</f>
        <v>0</v>
      </c>
      <c r="J363" s="100">
        <f>F363*G363</f>
        <v>0</v>
      </c>
      <c r="K363" s="100">
        <v>0.00053</v>
      </c>
      <c r="L363" s="100">
        <f>F363*K363</f>
        <v>0.0439211</v>
      </c>
      <c r="M363" s="101" t="s">
        <v>1667</v>
      </c>
      <c r="P363" s="14">
        <f>IF(AG363="5",J363,0)</f>
        <v>0</v>
      </c>
      <c r="R363" s="14">
        <f>IF(AG363="1",H363,0)</f>
        <v>0</v>
      </c>
      <c r="S363" s="14">
        <f>IF(AG363="1",I363,0)</f>
        <v>0</v>
      </c>
      <c r="T363" s="14">
        <f>IF(AG363="7",H363,0)</f>
        <v>0</v>
      </c>
      <c r="U363" s="14">
        <f>IF(AG363="7",I363,0)</f>
        <v>0</v>
      </c>
      <c r="V363" s="14">
        <f>IF(AG363="2",H363,0)</f>
        <v>0</v>
      </c>
      <c r="W363" s="14">
        <f>IF(AG363="2",I363,0)</f>
        <v>0</v>
      </c>
      <c r="X363" s="14">
        <f>IF(AG363="0",J363,0)</f>
        <v>0</v>
      </c>
      <c r="Y363" s="8" t="s">
        <v>406</v>
      </c>
      <c r="Z363" s="5">
        <f>IF(AD363=0,J363,0)</f>
        <v>0</v>
      </c>
      <c r="AA363" s="5">
        <f>IF(AD363=15,J363,0)</f>
        <v>0</v>
      </c>
      <c r="AB363" s="5">
        <f>IF(AD363=21,J363,0)</f>
        <v>0</v>
      </c>
      <c r="AD363" s="14">
        <v>15</v>
      </c>
      <c r="AE363" s="14">
        <f>G363*0.176939426142402</f>
        <v>0</v>
      </c>
      <c r="AF363" s="14">
        <f>G363*(1-0.176939426142402)</f>
        <v>0</v>
      </c>
      <c r="AG363" s="10" t="s">
        <v>13</v>
      </c>
      <c r="AM363" s="14">
        <f>F363*AE363</f>
        <v>0</v>
      </c>
      <c r="AN363" s="14">
        <f>F363*AF363</f>
        <v>0</v>
      </c>
      <c r="AO363" s="15" t="s">
        <v>1696</v>
      </c>
      <c r="AP363" s="15" t="s">
        <v>1731</v>
      </c>
      <c r="AQ363" s="8" t="s">
        <v>1769</v>
      </c>
      <c r="AS363" s="14">
        <f>AM363+AN363</f>
        <v>0</v>
      </c>
      <c r="AT363" s="14">
        <f>G363/(100-AU363)*100</f>
        <v>0</v>
      </c>
      <c r="AU363" s="14">
        <v>0</v>
      </c>
      <c r="AV363" s="14">
        <f>L363</f>
        <v>0.0439211</v>
      </c>
    </row>
    <row r="364" spans="1:13" ht="12.75">
      <c r="A364" s="102"/>
      <c r="B364" s="102"/>
      <c r="C364" s="102"/>
      <c r="D364" s="103" t="s">
        <v>1080</v>
      </c>
      <c r="E364" s="102"/>
      <c r="F364" s="104">
        <v>82.87</v>
      </c>
      <c r="G364" s="102"/>
      <c r="H364" s="102"/>
      <c r="I364" s="102"/>
      <c r="J364" s="102"/>
      <c r="K364" s="102"/>
      <c r="L364" s="102"/>
      <c r="M364" s="102"/>
    </row>
    <row r="365" spans="1:48" ht="12.75">
      <c r="A365" s="105" t="s">
        <v>99</v>
      </c>
      <c r="B365" s="105" t="s">
        <v>406</v>
      </c>
      <c r="C365" s="105" t="s">
        <v>511</v>
      </c>
      <c r="D365" s="105" t="s">
        <v>1081</v>
      </c>
      <c r="E365" s="105" t="s">
        <v>1640</v>
      </c>
      <c r="F365" s="106">
        <v>1</v>
      </c>
      <c r="G365" s="106">
        <v>0</v>
      </c>
      <c r="H365" s="106">
        <f>F365*AE365</f>
        <v>0</v>
      </c>
      <c r="I365" s="106">
        <f>J365-H365</f>
        <v>0</v>
      </c>
      <c r="J365" s="106">
        <f>F365*G365</f>
        <v>0</v>
      </c>
      <c r="K365" s="106">
        <v>0.00096</v>
      </c>
      <c r="L365" s="106">
        <f>F365*K365</f>
        <v>0.00096</v>
      </c>
      <c r="M365" s="107" t="s">
        <v>1667</v>
      </c>
      <c r="P365" s="14">
        <f>IF(AG365="5",J365,0)</f>
        <v>0</v>
      </c>
      <c r="R365" s="14">
        <f>IF(AG365="1",H365,0)</f>
        <v>0</v>
      </c>
      <c r="S365" s="14">
        <f>IF(AG365="1",I365,0)</f>
        <v>0</v>
      </c>
      <c r="T365" s="14">
        <f>IF(AG365="7",H365,0)</f>
        <v>0</v>
      </c>
      <c r="U365" s="14">
        <f>IF(AG365="7",I365,0)</f>
        <v>0</v>
      </c>
      <c r="V365" s="14">
        <f>IF(AG365="2",H365,0)</f>
        <v>0</v>
      </c>
      <c r="W365" s="14">
        <f>IF(AG365="2",I365,0)</f>
        <v>0</v>
      </c>
      <c r="X365" s="14">
        <f>IF(AG365="0",J365,0)</f>
        <v>0</v>
      </c>
      <c r="Y365" s="8" t="s">
        <v>406</v>
      </c>
      <c r="Z365" s="6">
        <f>IF(AD365=0,J365,0)</f>
        <v>0</v>
      </c>
      <c r="AA365" s="6">
        <f>IF(AD365=15,J365,0)</f>
        <v>0</v>
      </c>
      <c r="AB365" s="6">
        <f>IF(AD365=21,J365,0)</f>
        <v>0</v>
      </c>
      <c r="AD365" s="14">
        <v>15</v>
      </c>
      <c r="AE365" s="14">
        <f>G365*1</f>
        <v>0</v>
      </c>
      <c r="AF365" s="14">
        <f>G365*(1-1)</f>
        <v>0</v>
      </c>
      <c r="AG365" s="11" t="s">
        <v>13</v>
      </c>
      <c r="AM365" s="14">
        <f>F365*AE365</f>
        <v>0</v>
      </c>
      <c r="AN365" s="14">
        <f>F365*AF365</f>
        <v>0</v>
      </c>
      <c r="AO365" s="15" t="s">
        <v>1696</v>
      </c>
      <c r="AP365" s="15" t="s">
        <v>1731</v>
      </c>
      <c r="AQ365" s="8" t="s">
        <v>1769</v>
      </c>
      <c r="AS365" s="14">
        <f>AM365+AN365</f>
        <v>0</v>
      </c>
      <c r="AT365" s="14">
        <f>G365/(100-AU365)*100</f>
        <v>0</v>
      </c>
      <c r="AU365" s="14">
        <v>0</v>
      </c>
      <c r="AV365" s="14">
        <f>L365</f>
        <v>0.00096</v>
      </c>
    </row>
    <row r="366" spans="1:48" ht="12.75">
      <c r="A366" s="99" t="s">
        <v>100</v>
      </c>
      <c r="B366" s="99" t="s">
        <v>406</v>
      </c>
      <c r="C366" s="99" t="s">
        <v>512</v>
      </c>
      <c r="D366" s="99" t="s">
        <v>1082</v>
      </c>
      <c r="E366" s="99" t="s">
        <v>1643</v>
      </c>
      <c r="F366" s="100">
        <v>71</v>
      </c>
      <c r="G366" s="100">
        <v>0</v>
      </c>
      <c r="H366" s="100">
        <f>F366*AE366</f>
        <v>0</v>
      </c>
      <c r="I366" s="100">
        <f>J366-H366</f>
        <v>0</v>
      </c>
      <c r="J366" s="100">
        <f>F366*G366</f>
        <v>0</v>
      </c>
      <c r="K366" s="100">
        <v>0.00032</v>
      </c>
      <c r="L366" s="100">
        <f>F366*K366</f>
        <v>0.02272</v>
      </c>
      <c r="M366" s="101" t="s">
        <v>1667</v>
      </c>
      <c r="P366" s="14">
        <f>IF(AG366="5",J366,0)</f>
        <v>0</v>
      </c>
      <c r="R366" s="14">
        <f>IF(AG366="1",H366,0)</f>
        <v>0</v>
      </c>
      <c r="S366" s="14">
        <f>IF(AG366="1",I366,0)</f>
        <v>0</v>
      </c>
      <c r="T366" s="14">
        <f>IF(AG366="7",H366,0)</f>
        <v>0</v>
      </c>
      <c r="U366" s="14">
        <f>IF(AG366="7",I366,0)</f>
        <v>0</v>
      </c>
      <c r="V366" s="14">
        <f>IF(AG366="2",H366,0)</f>
        <v>0</v>
      </c>
      <c r="W366" s="14">
        <f>IF(AG366="2",I366,0)</f>
        <v>0</v>
      </c>
      <c r="X366" s="14">
        <f>IF(AG366="0",J366,0)</f>
        <v>0</v>
      </c>
      <c r="Y366" s="8" t="s">
        <v>406</v>
      </c>
      <c r="Z366" s="5">
        <f>IF(AD366=0,J366,0)</f>
        <v>0</v>
      </c>
      <c r="AA366" s="5">
        <f>IF(AD366=15,J366,0)</f>
        <v>0</v>
      </c>
      <c r="AB366" s="5">
        <f>IF(AD366=21,J366,0)</f>
        <v>0</v>
      </c>
      <c r="AD366" s="14">
        <v>15</v>
      </c>
      <c r="AE366" s="14">
        <f>G366*0.567067307692308</f>
        <v>0</v>
      </c>
      <c r="AF366" s="14">
        <f>G366*(1-0.567067307692308)</f>
        <v>0</v>
      </c>
      <c r="AG366" s="10" t="s">
        <v>13</v>
      </c>
      <c r="AM366" s="14">
        <f>F366*AE366</f>
        <v>0</v>
      </c>
      <c r="AN366" s="14">
        <f>F366*AF366</f>
        <v>0</v>
      </c>
      <c r="AO366" s="15" t="s">
        <v>1696</v>
      </c>
      <c r="AP366" s="15" t="s">
        <v>1731</v>
      </c>
      <c r="AQ366" s="8" t="s">
        <v>1769</v>
      </c>
      <c r="AS366" s="14">
        <f>AM366+AN366</f>
        <v>0</v>
      </c>
      <c r="AT366" s="14">
        <f>G366/(100-AU366)*100</f>
        <v>0</v>
      </c>
      <c r="AU366" s="14">
        <v>0</v>
      </c>
      <c r="AV366" s="14">
        <f>L366</f>
        <v>0.02272</v>
      </c>
    </row>
    <row r="367" spans="1:48" ht="12.75">
      <c r="A367" s="99" t="s">
        <v>101</v>
      </c>
      <c r="B367" s="99" t="s">
        <v>406</v>
      </c>
      <c r="C367" s="99" t="s">
        <v>513</v>
      </c>
      <c r="D367" s="99" t="s">
        <v>1083</v>
      </c>
      <c r="E367" s="99" t="s">
        <v>1640</v>
      </c>
      <c r="F367" s="100">
        <v>147.3</v>
      </c>
      <c r="G367" s="100">
        <v>0</v>
      </c>
      <c r="H367" s="100">
        <f>F367*AE367</f>
        <v>0</v>
      </c>
      <c r="I367" s="100">
        <f>J367-H367</f>
        <v>0</v>
      </c>
      <c r="J367" s="100">
        <f>F367*G367</f>
        <v>0</v>
      </c>
      <c r="K367" s="100">
        <v>0</v>
      </c>
      <c r="L367" s="100">
        <f>F367*K367</f>
        <v>0</v>
      </c>
      <c r="M367" s="101" t="s">
        <v>1667</v>
      </c>
      <c r="P367" s="14">
        <f>IF(AG367="5",J367,0)</f>
        <v>0</v>
      </c>
      <c r="R367" s="14">
        <f>IF(AG367="1",H367,0)</f>
        <v>0</v>
      </c>
      <c r="S367" s="14">
        <f>IF(AG367="1",I367,0)</f>
        <v>0</v>
      </c>
      <c r="T367" s="14">
        <f>IF(AG367="7",H367,0)</f>
        <v>0</v>
      </c>
      <c r="U367" s="14">
        <f>IF(AG367="7",I367,0)</f>
        <v>0</v>
      </c>
      <c r="V367" s="14">
        <f>IF(AG367="2",H367,0)</f>
        <v>0</v>
      </c>
      <c r="W367" s="14">
        <f>IF(AG367="2",I367,0)</f>
        <v>0</v>
      </c>
      <c r="X367" s="14">
        <f>IF(AG367="0",J367,0)</f>
        <v>0</v>
      </c>
      <c r="Y367" s="8" t="s">
        <v>406</v>
      </c>
      <c r="Z367" s="5">
        <f>IF(AD367=0,J367,0)</f>
        <v>0</v>
      </c>
      <c r="AA367" s="5">
        <f>IF(AD367=15,J367,0)</f>
        <v>0</v>
      </c>
      <c r="AB367" s="5">
        <f>IF(AD367=21,J367,0)</f>
        <v>0</v>
      </c>
      <c r="AD367" s="14">
        <v>15</v>
      </c>
      <c r="AE367" s="14">
        <f>G367*0</f>
        <v>0</v>
      </c>
      <c r="AF367" s="14">
        <f>G367*(1-0)</f>
        <v>0</v>
      </c>
      <c r="AG367" s="10" t="s">
        <v>13</v>
      </c>
      <c r="AM367" s="14">
        <f>F367*AE367</f>
        <v>0</v>
      </c>
      <c r="AN367" s="14">
        <f>F367*AF367</f>
        <v>0</v>
      </c>
      <c r="AO367" s="15" t="s">
        <v>1696</v>
      </c>
      <c r="AP367" s="15" t="s">
        <v>1731</v>
      </c>
      <c r="AQ367" s="8" t="s">
        <v>1769</v>
      </c>
      <c r="AS367" s="14">
        <f>AM367+AN367</f>
        <v>0</v>
      </c>
      <c r="AT367" s="14">
        <f>G367/(100-AU367)*100</f>
        <v>0</v>
      </c>
      <c r="AU367" s="14">
        <v>0</v>
      </c>
      <c r="AV367" s="14">
        <f>L367</f>
        <v>0</v>
      </c>
    </row>
    <row r="368" spans="1:13" ht="12.75">
      <c r="A368" s="102"/>
      <c r="B368" s="102"/>
      <c r="C368" s="102"/>
      <c r="D368" s="103" t="s">
        <v>1017</v>
      </c>
      <c r="E368" s="102"/>
      <c r="F368" s="104">
        <v>73</v>
      </c>
      <c r="G368" s="102"/>
      <c r="H368" s="102"/>
      <c r="I368" s="102"/>
      <c r="J368" s="102"/>
      <c r="K368" s="102"/>
      <c r="L368" s="102"/>
      <c r="M368" s="102"/>
    </row>
    <row r="369" spans="1:13" ht="12.75">
      <c r="A369" s="102"/>
      <c r="B369" s="102"/>
      <c r="C369" s="102"/>
      <c r="D369" s="103" t="s">
        <v>1084</v>
      </c>
      <c r="E369" s="102"/>
      <c r="F369" s="104">
        <v>74.3</v>
      </c>
      <c r="G369" s="102"/>
      <c r="H369" s="102"/>
      <c r="I369" s="102"/>
      <c r="J369" s="102"/>
      <c r="K369" s="102"/>
      <c r="L369" s="102"/>
      <c r="M369" s="102"/>
    </row>
    <row r="370" spans="1:48" ht="12.75">
      <c r="A370" s="105" t="s">
        <v>102</v>
      </c>
      <c r="B370" s="105" t="s">
        <v>406</v>
      </c>
      <c r="C370" s="105" t="s">
        <v>514</v>
      </c>
      <c r="D370" s="105" t="s">
        <v>1085</v>
      </c>
      <c r="E370" s="105" t="s">
        <v>1640</v>
      </c>
      <c r="F370" s="106">
        <v>11.55</v>
      </c>
      <c r="G370" s="106">
        <v>0</v>
      </c>
      <c r="H370" s="106">
        <f>F370*AE370</f>
        <v>0</v>
      </c>
      <c r="I370" s="106">
        <f>J370-H370</f>
        <v>0</v>
      </c>
      <c r="J370" s="106">
        <f>F370*G370</f>
        <v>0</v>
      </c>
      <c r="K370" s="106">
        <v>0.0008</v>
      </c>
      <c r="L370" s="106">
        <f>F370*K370</f>
        <v>0.009240000000000002</v>
      </c>
      <c r="M370" s="107" t="s">
        <v>1667</v>
      </c>
      <c r="P370" s="14">
        <f>IF(AG370="5",J370,0)</f>
        <v>0</v>
      </c>
      <c r="R370" s="14">
        <f>IF(AG370="1",H370,0)</f>
        <v>0</v>
      </c>
      <c r="S370" s="14">
        <f>IF(AG370="1",I370,0)</f>
        <v>0</v>
      </c>
      <c r="T370" s="14">
        <f>IF(AG370="7",H370,0)</f>
        <v>0</v>
      </c>
      <c r="U370" s="14">
        <f>IF(AG370="7",I370,0)</f>
        <v>0</v>
      </c>
      <c r="V370" s="14">
        <f>IF(AG370="2",H370,0)</f>
        <v>0</v>
      </c>
      <c r="W370" s="14">
        <f>IF(AG370="2",I370,0)</f>
        <v>0</v>
      </c>
      <c r="X370" s="14">
        <f>IF(AG370="0",J370,0)</f>
        <v>0</v>
      </c>
      <c r="Y370" s="8" t="s">
        <v>406</v>
      </c>
      <c r="Z370" s="6">
        <f>IF(AD370=0,J370,0)</f>
        <v>0</v>
      </c>
      <c r="AA370" s="6">
        <f>IF(AD370=15,J370,0)</f>
        <v>0</v>
      </c>
      <c r="AB370" s="6">
        <f>IF(AD370=21,J370,0)</f>
        <v>0</v>
      </c>
      <c r="AD370" s="14">
        <v>15</v>
      </c>
      <c r="AE370" s="14">
        <f>G370*1</f>
        <v>0</v>
      </c>
      <c r="AF370" s="14">
        <f>G370*(1-1)</f>
        <v>0</v>
      </c>
      <c r="AG370" s="11" t="s">
        <v>13</v>
      </c>
      <c r="AM370" s="14">
        <f>F370*AE370</f>
        <v>0</v>
      </c>
      <c r="AN370" s="14">
        <f>F370*AF370</f>
        <v>0</v>
      </c>
      <c r="AO370" s="15" t="s">
        <v>1696</v>
      </c>
      <c r="AP370" s="15" t="s">
        <v>1731</v>
      </c>
      <c r="AQ370" s="8" t="s">
        <v>1769</v>
      </c>
      <c r="AS370" s="14">
        <f>AM370+AN370</f>
        <v>0</v>
      </c>
      <c r="AT370" s="14">
        <f>G370/(100-AU370)*100</f>
        <v>0</v>
      </c>
      <c r="AU370" s="14">
        <v>0</v>
      </c>
      <c r="AV370" s="14">
        <f>L370</f>
        <v>0.009240000000000002</v>
      </c>
    </row>
    <row r="371" spans="1:13" ht="12.75">
      <c r="A371" s="102"/>
      <c r="B371" s="102"/>
      <c r="C371" s="102"/>
      <c r="D371" s="103" t="s">
        <v>1086</v>
      </c>
      <c r="E371" s="102"/>
      <c r="F371" s="104">
        <v>11.55</v>
      </c>
      <c r="G371" s="102"/>
      <c r="H371" s="102"/>
      <c r="I371" s="102"/>
      <c r="J371" s="102"/>
      <c r="K371" s="102"/>
      <c r="L371" s="102"/>
      <c r="M371" s="102"/>
    </row>
    <row r="372" spans="1:48" ht="12.75">
      <c r="A372" s="105" t="s">
        <v>103</v>
      </c>
      <c r="B372" s="105" t="s">
        <v>406</v>
      </c>
      <c r="C372" s="105" t="s">
        <v>515</v>
      </c>
      <c r="D372" s="105" t="s">
        <v>1087</v>
      </c>
      <c r="E372" s="105" t="s">
        <v>1640</v>
      </c>
      <c r="F372" s="106">
        <v>65.1</v>
      </c>
      <c r="G372" s="106">
        <v>0</v>
      </c>
      <c r="H372" s="106">
        <f>F372*AE372</f>
        <v>0</v>
      </c>
      <c r="I372" s="106">
        <f>J372-H372</f>
        <v>0</v>
      </c>
      <c r="J372" s="106">
        <f>F372*G372</f>
        <v>0</v>
      </c>
      <c r="K372" s="106">
        <v>0.001</v>
      </c>
      <c r="L372" s="106">
        <f>F372*K372</f>
        <v>0.06509999999999999</v>
      </c>
      <c r="M372" s="107" t="s">
        <v>1667</v>
      </c>
      <c r="P372" s="14">
        <f>IF(AG372="5",J372,0)</f>
        <v>0</v>
      </c>
      <c r="R372" s="14">
        <f>IF(AG372="1",H372,0)</f>
        <v>0</v>
      </c>
      <c r="S372" s="14">
        <f>IF(AG372="1",I372,0)</f>
        <v>0</v>
      </c>
      <c r="T372" s="14">
        <f>IF(AG372="7",H372,0)</f>
        <v>0</v>
      </c>
      <c r="U372" s="14">
        <f>IF(AG372="7",I372,0)</f>
        <v>0</v>
      </c>
      <c r="V372" s="14">
        <f>IF(AG372="2",H372,0)</f>
        <v>0</v>
      </c>
      <c r="W372" s="14">
        <f>IF(AG372="2",I372,0)</f>
        <v>0</v>
      </c>
      <c r="X372" s="14">
        <f>IF(AG372="0",J372,0)</f>
        <v>0</v>
      </c>
      <c r="Y372" s="8" t="s">
        <v>406</v>
      </c>
      <c r="Z372" s="6">
        <f>IF(AD372=0,J372,0)</f>
        <v>0</v>
      </c>
      <c r="AA372" s="6">
        <f>IF(AD372=15,J372,0)</f>
        <v>0</v>
      </c>
      <c r="AB372" s="6">
        <f>IF(AD372=21,J372,0)</f>
        <v>0</v>
      </c>
      <c r="AD372" s="14">
        <v>15</v>
      </c>
      <c r="AE372" s="14">
        <f>G372*1</f>
        <v>0</v>
      </c>
      <c r="AF372" s="14">
        <f>G372*(1-1)</f>
        <v>0</v>
      </c>
      <c r="AG372" s="11" t="s">
        <v>13</v>
      </c>
      <c r="AM372" s="14">
        <f>F372*AE372</f>
        <v>0</v>
      </c>
      <c r="AN372" s="14">
        <f>F372*AF372</f>
        <v>0</v>
      </c>
      <c r="AO372" s="15" t="s">
        <v>1696</v>
      </c>
      <c r="AP372" s="15" t="s">
        <v>1731</v>
      </c>
      <c r="AQ372" s="8" t="s">
        <v>1769</v>
      </c>
      <c r="AS372" s="14">
        <f>AM372+AN372</f>
        <v>0</v>
      </c>
      <c r="AT372" s="14">
        <f>G372/(100-AU372)*100</f>
        <v>0</v>
      </c>
      <c r="AU372" s="14">
        <v>0</v>
      </c>
      <c r="AV372" s="14">
        <f>L372</f>
        <v>0.06509999999999999</v>
      </c>
    </row>
    <row r="373" spans="1:13" ht="12.75">
      <c r="A373" s="102"/>
      <c r="B373" s="102"/>
      <c r="C373" s="102"/>
      <c r="D373" s="103" t="s">
        <v>1088</v>
      </c>
      <c r="E373" s="102"/>
      <c r="F373" s="104">
        <v>65.1</v>
      </c>
      <c r="G373" s="102"/>
      <c r="H373" s="102"/>
      <c r="I373" s="102"/>
      <c r="J373" s="102"/>
      <c r="K373" s="102"/>
      <c r="L373" s="102"/>
      <c r="M373" s="102"/>
    </row>
    <row r="374" spans="1:48" ht="12.75">
      <c r="A374" s="99" t="s">
        <v>104</v>
      </c>
      <c r="B374" s="99" t="s">
        <v>406</v>
      </c>
      <c r="C374" s="99" t="s">
        <v>516</v>
      </c>
      <c r="D374" s="99" t="s">
        <v>1089</v>
      </c>
      <c r="E374" s="99" t="s">
        <v>1640</v>
      </c>
      <c r="F374" s="100">
        <v>73</v>
      </c>
      <c r="G374" s="100">
        <v>0</v>
      </c>
      <c r="H374" s="100">
        <f>F374*AE374</f>
        <v>0</v>
      </c>
      <c r="I374" s="100">
        <f>J374-H374</f>
        <v>0</v>
      </c>
      <c r="J374" s="100">
        <f>F374*G374</f>
        <v>0</v>
      </c>
      <c r="K374" s="100">
        <v>0.00015</v>
      </c>
      <c r="L374" s="100">
        <f>F374*K374</f>
        <v>0.01095</v>
      </c>
      <c r="M374" s="101" t="s">
        <v>1667</v>
      </c>
      <c r="P374" s="14">
        <f>IF(AG374="5",J374,0)</f>
        <v>0</v>
      </c>
      <c r="R374" s="14">
        <f>IF(AG374="1",H374,0)</f>
        <v>0</v>
      </c>
      <c r="S374" s="14">
        <f>IF(AG374="1",I374,0)</f>
        <v>0</v>
      </c>
      <c r="T374" s="14">
        <f>IF(AG374="7",H374,0)</f>
        <v>0</v>
      </c>
      <c r="U374" s="14">
        <f>IF(AG374="7",I374,0)</f>
        <v>0</v>
      </c>
      <c r="V374" s="14">
        <f>IF(AG374="2",H374,0)</f>
        <v>0</v>
      </c>
      <c r="W374" s="14">
        <f>IF(AG374="2",I374,0)</f>
        <v>0</v>
      </c>
      <c r="X374" s="14">
        <f>IF(AG374="0",J374,0)</f>
        <v>0</v>
      </c>
      <c r="Y374" s="8" t="s">
        <v>406</v>
      </c>
      <c r="Z374" s="5">
        <f>IF(AD374=0,J374,0)</f>
        <v>0</v>
      </c>
      <c r="AA374" s="5">
        <f>IF(AD374=15,J374,0)</f>
        <v>0</v>
      </c>
      <c r="AB374" s="5">
        <f>IF(AD374=21,J374,0)</f>
        <v>0</v>
      </c>
      <c r="AD374" s="14">
        <v>15</v>
      </c>
      <c r="AE374" s="14">
        <f>G374*0.321999731218922</f>
        <v>0</v>
      </c>
      <c r="AF374" s="14">
        <f>G374*(1-0.321999731218922)</f>
        <v>0</v>
      </c>
      <c r="AG374" s="10" t="s">
        <v>13</v>
      </c>
      <c r="AM374" s="14">
        <f>F374*AE374</f>
        <v>0</v>
      </c>
      <c r="AN374" s="14">
        <f>F374*AF374</f>
        <v>0</v>
      </c>
      <c r="AO374" s="15" t="s">
        <v>1696</v>
      </c>
      <c r="AP374" s="15" t="s">
        <v>1731</v>
      </c>
      <c r="AQ374" s="8" t="s">
        <v>1769</v>
      </c>
      <c r="AS374" s="14">
        <f>AM374+AN374</f>
        <v>0</v>
      </c>
      <c r="AT374" s="14">
        <f>G374/(100-AU374)*100</f>
        <v>0</v>
      </c>
      <c r="AU374" s="14">
        <v>0</v>
      </c>
      <c r="AV374" s="14">
        <f>L374</f>
        <v>0.01095</v>
      </c>
    </row>
    <row r="375" spans="1:13" ht="12.75">
      <c r="A375" s="102"/>
      <c r="B375" s="102"/>
      <c r="C375" s="102"/>
      <c r="D375" s="103" t="s">
        <v>1017</v>
      </c>
      <c r="E375" s="102"/>
      <c r="F375" s="104">
        <v>73</v>
      </c>
      <c r="G375" s="102"/>
      <c r="H375" s="102"/>
      <c r="I375" s="102"/>
      <c r="J375" s="102"/>
      <c r="K375" s="102"/>
      <c r="L375" s="102"/>
      <c r="M375" s="102"/>
    </row>
    <row r="376" spans="1:48" ht="12.75">
      <c r="A376" s="105" t="s">
        <v>105</v>
      </c>
      <c r="B376" s="105" t="s">
        <v>406</v>
      </c>
      <c r="C376" s="105" t="s">
        <v>517</v>
      </c>
      <c r="D376" s="105" t="s">
        <v>1090</v>
      </c>
      <c r="E376" s="105" t="s">
        <v>1640</v>
      </c>
      <c r="F376" s="106">
        <v>78.02</v>
      </c>
      <c r="G376" s="106">
        <v>0</v>
      </c>
      <c r="H376" s="106">
        <f>F376*AE376</f>
        <v>0</v>
      </c>
      <c r="I376" s="106">
        <f>J376-H376</f>
        <v>0</v>
      </c>
      <c r="J376" s="106">
        <f>F376*G376</f>
        <v>0</v>
      </c>
      <c r="K376" s="106">
        <v>0.002</v>
      </c>
      <c r="L376" s="106">
        <f>F376*K376</f>
        <v>0.15603999999999998</v>
      </c>
      <c r="M376" s="107" t="s">
        <v>1667</v>
      </c>
      <c r="P376" s="14">
        <f>IF(AG376="5",J376,0)</f>
        <v>0</v>
      </c>
      <c r="R376" s="14">
        <f>IF(AG376="1",H376,0)</f>
        <v>0</v>
      </c>
      <c r="S376" s="14">
        <f>IF(AG376="1",I376,0)</f>
        <v>0</v>
      </c>
      <c r="T376" s="14">
        <f>IF(AG376="7",H376,0)</f>
        <v>0</v>
      </c>
      <c r="U376" s="14">
        <f>IF(AG376="7",I376,0)</f>
        <v>0</v>
      </c>
      <c r="V376" s="14">
        <f>IF(AG376="2",H376,0)</f>
        <v>0</v>
      </c>
      <c r="W376" s="14">
        <f>IF(AG376="2",I376,0)</f>
        <v>0</v>
      </c>
      <c r="X376" s="14">
        <f>IF(AG376="0",J376,0)</f>
        <v>0</v>
      </c>
      <c r="Y376" s="8" t="s">
        <v>406</v>
      </c>
      <c r="Z376" s="6">
        <f>IF(AD376=0,J376,0)</f>
        <v>0</v>
      </c>
      <c r="AA376" s="6">
        <f>IF(AD376=15,J376,0)</f>
        <v>0</v>
      </c>
      <c r="AB376" s="6">
        <f>IF(AD376=21,J376,0)</f>
        <v>0</v>
      </c>
      <c r="AD376" s="14">
        <v>15</v>
      </c>
      <c r="AE376" s="14">
        <f>G376*1</f>
        <v>0</v>
      </c>
      <c r="AF376" s="14">
        <f>G376*(1-1)</f>
        <v>0</v>
      </c>
      <c r="AG376" s="11" t="s">
        <v>13</v>
      </c>
      <c r="AM376" s="14">
        <f>F376*AE376</f>
        <v>0</v>
      </c>
      <c r="AN376" s="14">
        <f>F376*AF376</f>
        <v>0</v>
      </c>
      <c r="AO376" s="15" t="s">
        <v>1696</v>
      </c>
      <c r="AP376" s="15" t="s">
        <v>1731</v>
      </c>
      <c r="AQ376" s="8" t="s">
        <v>1769</v>
      </c>
      <c r="AS376" s="14">
        <f>AM376+AN376</f>
        <v>0</v>
      </c>
      <c r="AT376" s="14">
        <f>G376/(100-AU376)*100</f>
        <v>0</v>
      </c>
      <c r="AU376" s="14">
        <v>0</v>
      </c>
      <c r="AV376" s="14">
        <f>L376</f>
        <v>0.15603999999999998</v>
      </c>
    </row>
    <row r="377" spans="1:13" ht="12.75">
      <c r="A377" s="102"/>
      <c r="B377" s="102"/>
      <c r="C377" s="102"/>
      <c r="D377" s="103" t="s">
        <v>1091</v>
      </c>
      <c r="E377" s="102"/>
      <c r="F377" s="104">
        <v>78.02</v>
      </c>
      <c r="G377" s="102"/>
      <c r="H377" s="102"/>
      <c r="I377" s="102"/>
      <c r="J377" s="102"/>
      <c r="K377" s="102"/>
      <c r="L377" s="102"/>
      <c r="M377" s="102"/>
    </row>
    <row r="378" spans="1:48" ht="12.75">
      <c r="A378" s="99" t="s">
        <v>106</v>
      </c>
      <c r="B378" s="99" t="s">
        <v>406</v>
      </c>
      <c r="C378" s="99" t="s">
        <v>518</v>
      </c>
      <c r="D378" s="99" t="s">
        <v>1092</v>
      </c>
      <c r="E378" s="99" t="s">
        <v>1640</v>
      </c>
      <c r="F378" s="100">
        <v>10.01</v>
      </c>
      <c r="G378" s="100">
        <v>0</v>
      </c>
      <c r="H378" s="100">
        <f>F378*AE378</f>
        <v>0</v>
      </c>
      <c r="I378" s="100">
        <f>J378-H378</f>
        <v>0</v>
      </c>
      <c r="J378" s="100">
        <f>F378*G378</f>
        <v>0</v>
      </c>
      <c r="K378" s="100">
        <v>0.00012</v>
      </c>
      <c r="L378" s="100">
        <f>F378*K378</f>
        <v>0.0012012</v>
      </c>
      <c r="M378" s="101" t="s">
        <v>1667</v>
      </c>
      <c r="P378" s="14">
        <f>IF(AG378="5",J378,0)</f>
        <v>0</v>
      </c>
      <c r="R378" s="14">
        <f>IF(AG378="1",H378,0)</f>
        <v>0</v>
      </c>
      <c r="S378" s="14">
        <f>IF(AG378="1",I378,0)</f>
        <v>0</v>
      </c>
      <c r="T378" s="14">
        <f>IF(AG378="7",H378,0)</f>
        <v>0</v>
      </c>
      <c r="U378" s="14">
        <f>IF(AG378="7",I378,0)</f>
        <v>0</v>
      </c>
      <c r="V378" s="14">
        <f>IF(AG378="2",H378,0)</f>
        <v>0</v>
      </c>
      <c r="W378" s="14">
        <f>IF(AG378="2",I378,0)</f>
        <v>0</v>
      </c>
      <c r="X378" s="14">
        <f>IF(AG378="0",J378,0)</f>
        <v>0</v>
      </c>
      <c r="Y378" s="8" t="s">
        <v>406</v>
      </c>
      <c r="Z378" s="5">
        <f>IF(AD378=0,J378,0)</f>
        <v>0</v>
      </c>
      <c r="AA378" s="5">
        <f>IF(AD378=15,J378,0)</f>
        <v>0</v>
      </c>
      <c r="AB378" s="5">
        <f>IF(AD378=21,J378,0)</f>
        <v>0</v>
      </c>
      <c r="AD378" s="14">
        <v>15</v>
      </c>
      <c r="AE378" s="14">
        <f>G378*0.441472868217054</f>
        <v>0</v>
      </c>
      <c r="AF378" s="14">
        <f>G378*(1-0.441472868217054)</f>
        <v>0</v>
      </c>
      <c r="AG378" s="10" t="s">
        <v>13</v>
      </c>
      <c r="AM378" s="14">
        <f>F378*AE378</f>
        <v>0</v>
      </c>
      <c r="AN378" s="14">
        <f>F378*AF378</f>
        <v>0</v>
      </c>
      <c r="AO378" s="15" t="s">
        <v>1696</v>
      </c>
      <c r="AP378" s="15" t="s">
        <v>1731</v>
      </c>
      <c r="AQ378" s="8" t="s">
        <v>1769</v>
      </c>
      <c r="AS378" s="14">
        <f>AM378+AN378</f>
        <v>0</v>
      </c>
      <c r="AT378" s="14">
        <f>G378/(100-AU378)*100</f>
        <v>0</v>
      </c>
      <c r="AU378" s="14">
        <v>0</v>
      </c>
      <c r="AV378" s="14">
        <f>L378</f>
        <v>0.0012012</v>
      </c>
    </row>
    <row r="379" spans="1:13" ht="12.75">
      <c r="A379" s="102"/>
      <c r="B379" s="102"/>
      <c r="C379" s="102"/>
      <c r="D379" s="103" t="s">
        <v>1093</v>
      </c>
      <c r="E379" s="102"/>
      <c r="F379" s="104">
        <v>10.01</v>
      </c>
      <c r="G379" s="102"/>
      <c r="H379" s="102"/>
      <c r="I379" s="102"/>
      <c r="J379" s="102"/>
      <c r="K379" s="102"/>
      <c r="L379" s="102"/>
      <c r="M379" s="102"/>
    </row>
    <row r="380" spans="1:48" ht="12.75">
      <c r="A380" s="99" t="s">
        <v>107</v>
      </c>
      <c r="B380" s="99" t="s">
        <v>406</v>
      </c>
      <c r="C380" s="99" t="s">
        <v>519</v>
      </c>
      <c r="D380" s="99" t="s">
        <v>1094</v>
      </c>
      <c r="E380" s="99" t="s">
        <v>1640</v>
      </c>
      <c r="F380" s="100">
        <v>10.01</v>
      </c>
      <c r="G380" s="100">
        <v>0</v>
      </c>
      <c r="H380" s="100">
        <f>F380*AE380</f>
        <v>0</v>
      </c>
      <c r="I380" s="100">
        <f>J380-H380</f>
        <v>0</v>
      </c>
      <c r="J380" s="100">
        <f>F380*G380</f>
        <v>0</v>
      </c>
      <c r="K380" s="100">
        <v>0.00033</v>
      </c>
      <c r="L380" s="100">
        <f>F380*K380</f>
        <v>0.0033033</v>
      </c>
      <c r="M380" s="101" t="s">
        <v>1667</v>
      </c>
      <c r="P380" s="14">
        <f>IF(AG380="5",J380,0)</f>
        <v>0</v>
      </c>
      <c r="R380" s="14">
        <f>IF(AG380="1",H380,0)</f>
        <v>0</v>
      </c>
      <c r="S380" s="14">
        <f>IF(AG380="1",I380,0)</f>
        <v>0</v>
      </c>
      <c r="T380" s="14">
        <f>IF(AG380="7",H380,0)</f>
        <v>0</v>
      </c>
      <c r="U380" s="14">
        <f>IF(AG380="7",I380,0)</f>
        <v>0</v>
      </c>
      <c r="V380" s="14">
        <f>IF(AG380="2",H380,0)</f>
        <v>0</v>
      </c>
      <c r="W380" s="14">
        <f>IF(AG380="2",I380,0)</f>
        <v>0</v>
      </c>
      <c r="X380" s="14">
        <f>IF(AG380="0",J380,0)</f>
        <v>0</v>
      </c>
      <c r="Y380" s="8" t="s">
        <v>406</v>
      </c>
      <c r="Z380" s="5">
        <f>IF(AD380=0,J380,0)</f>
        <v>0</v>
      </c>
      <c r="AA380" s="5">
        <f>IF(AD380=15,J380,0)</f>
        <v>0</v>
      </c>
      <c r="AB380" s="5">
        <f>IF(AD380=21,J380,0)</f>
        <v>0</v>
      </c>
      <c r="AD380" s="14">
        <v>15</v>
      </c>
      <c r="AE380" s="14">
        <f>G380*0.430238095238095</f>
        <v>0</v>
      </c>
      <c r="AF380" s="14">
        <f>G380*(1-0.430238095238095)</f>
        <v>0</v>
      </c>
      <c r="AG380" s="10" t="s">
        <v>13</v>
      </c>
      <c r="AM380" s="14">
        <f>F380*AE380</f>
        <v>0</v>
      </c>
      <c r="AN380" s="14">
        <f>F380*AF380</f>
        <v>0</v>
      </c>
      <c r="AO380" s="15" t="s">
        <v>1696</v>
      </c>
      <c r="AP380" s="15" t="s">
        <v>1731</v>
      </c>
      <c r="AQ380" s="8" t="s">
        <v>1769</v>
      </c>
      <c r="AS380" s="14">
        <f>AM380+AN380</f>
        <v>0</v>
      </c>
      <c r="AT380" s="14">
        <f>G380/(100-AU380)*100</f>
        <v>0</v>
      </c>
      <c r="AU380" s="14">
        <v>0</v>
      </c>
      <c r="AV380" s="14">
        <f>L380</f>
        <v>0.0033033</v>
      </c>
    </row>
    <row r="381" spans="1:13" ht="12.75">
      <c r="A381" s="102"/>
      <c r="B381" s="102"/>
      <c r="C381" s="102"/>
      <c r="D381" s="103" t="s">
        <v>1095</v>
      </c>
      <c r="E381" s="102"/>
      <c r="F381" s="104">
        <v>10.01</v>
      </c>
      <c r="G381" s="102"/>
      <c r="H381" s="102"/>
      <c r="I381" s="102"/>
      <c r="J381" s="102"/>
      <c r="K381" s="102"/>
      <c r="L381" s="102"/>
      <c r="M381" s="102"/>
    </row>
    <row r="382" spans="1:48" ht="12.75">
      <c r="A382" s="105" t="s">
        <v>108</v>
      </c>
      <c r="B382" s="105" t="s">
        <v>406</v>
      </c>
      <c r="C382" s="105" t="s">
        <v>520</v>
      </c>
      <c r="D382" s="105" t="s">
        <v>1096</v>
      </c>
      <c r="E382" s="105" t="s">
        <v>1639</v>
      </c>
      <c r="F382" s="106">
        <v>0.74</v>
      </c>
      <c r="G382" s="106">
        <v>0</v>
      </c>
      <c r="H382" s="106">
        <f>F382*AE382</f>
        <v>0</v>
      </c>
      <c r="I382" s="106">
        <f>J382-H382</f>
        <v>0</v>
      </c>
      <c r="J382" s="106">
        <f>F382*G382</f>
        <v>0</v>
      </c>
      <c r="K382" s="106">
        <v>0.025</v>
      </c>
      <c r="L382" s="106">
        <f>F382*K382</f>
        <v>0.0185</v>
      </c>
      <c r="M382" s="107" t="s">
        <v>1667</v>
      </c>
      <c r="P382" s="14">
        <f>IF(AG382="5",J382,0)</f>
        <v>0</v>
      </c>
      <c r="R382" s="14">
        <f>IF(AG382="1",H382,0)</f>
        <v>0</v>
      </c>
      <c r="S382" s="14">
        <f>IF(AG382="1",I382,0)</f>
        <v>0</v>
      </c>
      <c r="T382" s="14">
        <f>IF(AG382="7",H382,0)</f>
        <v>0</v>
      </c>
      <c r="U382" s="14">
        <f>IF(AG382="7",I382,0)</f>
        <v>0</v>
      </c>
      <c r="V382" s="14">
        <f>IF(AG382="2",H382,0)</f>
        <v>0</v>
      </c>
      <c r="W382" s="14">
        <f>IF(AG382="2",I382,0)</f>
        <v>0</v>
      </c>
      <c r="X382" s="14">
        <f>IF(AG382="0",J382,0)</f>
        <v>0</v>
      </c>
      <c r="Y382" s="8" t="s">
        <v>406</v>
      </c>
      <c r="Z382" s="6">
        <f>IF(AD382=0,J382,0)</f>
        <v>0</v>
      </c>
      <c r="AA382" s="6">
        <f>IF(AD382=15,J382,0)</f>
        <v>0</v>
      </c>
      <c r="AB382" s="6">
        <f>IF(AD382=21,J382,0)</f>
        <v>0</v>
      </c>
      <c r="AD382" s="14">
        <v>15</v>
      </c>
      <c r="AE382" s="14">
        <f>G382*1</f>
        <v>0</v>
      </c>
      <c r="AF382" s="14">
        <f>G382*(1-1)</f>
        <v>0</v>
      </c>
      <c r="AG382" s="11" t="s">
        <v>13</v>
      </c>
      <c r="AM382" s="14">
        <f>F382*AE382</f>
        <v>0</v>
      </c>
      <c r="AN382" s="14">
        <f>F382*AF382</f>
        <v>0</v>
      </c>
      <c r="AO382" s="15" t="s">
        <v>1696</v>
      </c>
      <c r="AP382" s="15" t="s">
        <v>1731</v>
      </c>
      <c r="AQ382" s="8" t="s">
        <v>1769</v>
      </c>
      <c r="AS382" s="14">
        <f>AM382+AN382</f>
        <v>0</v>
      </c>
      <c r="AT382" s="14">
        <f>G382/(100-AU382)*100</f>
        <v>0</v>
      </c>
      <c r="AU382" s="14">
        <v>0</v>
      </c>
      <c r="AV382" s="14">
        <f>L382</f>
        <v>0.0185</v>
      </c>
    </row>
    <row r="383" spans="1:13" ht="12.75">
      <c r="A383" s="102"/>
      <c r="B383" s="102"/>
      <c r="C383" s="102"/>
      <c r="D383" s="103" t="s">
        <v>1097</v>
      </c>
      <c r="E383" s="102"/>
      <c r="F383" s="104">
        <v>0.74</v>
      </c>
      <c r="G383" s="102"/>
      <c r="H383" s="102"/>
      <c r="I383" s="102"/>
      <c r="J383" s="102"/>
      <c r="K383" s="102"/>
      <c r="L383" s="102"/>
      <c r="M383" s="102"/>
    </row>
    <row r="384" spans="1:48" ht="12.75">
      <c r="A384" s="99" t="s">
        <v>109</v>
      </c>
      <c r="B384" s="99" t="s">
        <v>406</v>
      </c>
      <c r="C384" s="99" t="s">
        <v>521</v>
      </c>
      <c r="D384" s="99" t="s">
        <v>1098</v>
      </c>
      <c r="E384" s="99" t="s">
        <v>1640</v>
      </c>
      <c r="F384" s="100">
        <v>10.01</v>
      </c>
      <c r="G384" s="100">
        <v>0</v>
      </c>
      <c r="H384" s="100">
        <f>F384*AE384</f>
        <v>0</v>
      </c>
      <c r="I384" s="100">
        <f>J384-H384</f>
        <v>0</v>
      </c>
      <c r="J384" s="100">
        <f>F384*G384</f>
        <v>0</v>
      </c>
      <c r="K384" s="100">
        <v>4E-05</v>
      </c>
      <c r="L384" s="100">
        <f>F384*K384</f>
        <v>0.00040040000000000003</v>
      </c>
      <c r="M384" s="101" t="s">
        <v>1667</v>
      </c>
      <c r="P384" s="14">
        <f>IF(AG384="5",J384,0)</f>
        <v>0</v>
      </c>
      <c r="R384" s="14">
        <f>IF(AG384="1",H384,0)</f>
        <v>0</v>
      </c>
      <c r="S384" s="14">
        <f>IF(AG384="1",I384,0)</f>
        <v>0</v>
      </c>
      <c r="T384" s="14">
        <f>IF(AG384="7",H384,0)</f>
        <v>0</v>
      </c>
      <c r="U384" s="14">
        <f>IF(AG384="7",I384,0)</f>
        <v>0</v>
      </c>
      <c r="V384" s="14">
        <f>IF(AG384="2",H384,0)</f>
        <v>0</v>
      </c>
      <c r="W384" s="14">
        <f>IF(AG384="2",I384,0)</f>
        <v>0</v>
      </c>
      <c r="X384" s="14">
        <f>IF(AG384="0",J384,0)</f>
        <v>0</v>
      </c>
      <c r="Y384" s="8" t="s">
        <v>406</v>
      </c>
      <c r="Z384" s="5">
        <f>IF(AD384=0,J384,0)</f>
        <v>0</v>
      </c>
      <c r="AA384" s="5">
        <f>IF(AD384=15,J384,0)</f>
        <v>0</v>
      </c>
      <c r="AB384" s="5">
        <f>IF(AD384=21,J384,0)</f>
        <v>0</v>
      </c>
      <c r="AD384" s="14">
        <v>15</v>
      </c>
      <c r="AE384" s="14">
        <f>G384*0.0281767955801105</f>
        <v>0</v>
      </c>
      <c r="AF384" s="14">
        <f>G384*(1-0.0281767955801105)</f>
        <v>0</v>
      </c>
      <c r="AG384" s="10" t="s">
        <v>13</v>
      </c>
      <c r="AM384" s="14">
        <f>F384*AE384</f>
        <v>0</v>
      </c>
      <c r="AN384" s="14">
        <f>F384*AF384</f>
        <v>0</v>
      </c>
      <c r="AO384" s="15" t="s">
        <v>1696</v>
      </c>
      <c r="AP384" s="15" t="s">
        <v>1731</v>
      </c>
      <c r="AQ384" s="8" t="s">
        <v>1769</v>
      </c>
      <c r="AS384" s="14">
        <f>AM384+AN384</f>
        <v>0</v>
      </c>
      <c r="AT384" s="14">
        <f>G384/(100-AU384)*100</f>
        <v>0</v>
      </c>
      <c r="AU384" s="14">
        <v>0</v>
      </c>
      <c r="AV384" s="14">
        <f>L384</f>
        <v>0.00040040000000000003</v>
      </c>
    </row>
    <row r="385" spans="1:48" ht="12.75">
      <c r="A385" s="105" t="s">
        <v>110</v>
      </c>
      <c r="B385" s="105" t="s">
        <v>406</v>
      </c>
      <c r="C385" s="105" t="s">
        <v>522</v>
      </c>
      <c r="D385" s="105" t="s">
        <v>1099</v>
      </c>
      <c r="E385" s="105" t="s">
        <v>1640</v>
      </c>
      <c r="F385" s="106">
        <v>10.51</v>
      </c>
      <c r="G385" s="106">
        <v>0</v>
      </c>
      <c r="H385" s="106">
        <f>F385*AE385</f>
        <v>0</v>
      </c>
      <c r="I385" s="106">
        <f>J385-H385</f>
        <v>0</v>
      </c>
      <c r="J385" s="106">
        <f>F385*G385</f>
        <v>0</v>
      </c>
      <c r="K385" s="106">
        <v>0.0003</v>
      </c>
      <c r="L385" s="106">
        <f>F385*K385</f>
        <v>0.0031529999999999996</v>
      </c>
      <c r="M385" s="107" t="s">
        <v>1667</v>
      </c>
      <c r="P385" s="14">
        <f>IF(AG385="5",J385,0)</f>
        <v>0</v>
      </c>
      <c r="R385" s="14">
        <f>IF(AG385="1",H385,0)</f>
        <v>0</v>
      </c>
      <c r="S385" s="14">
        <f>IF(AG385="1",I385,0)</f>
        <v>0</v>
      </c>
      <c r="T385" s="14">
        <f>IF(AG385="7",H385,0)</f>
        <v>0</v>
      </c>
      <c r="U385" s="14">
        <f>IF(AG385="7",I385,0)</f>
        <v>0</v>
      </c>
      <c r="V385" s="14">
        <f>IF(AG385="2",H385,0)</f>
        <v>0</v>
      </c>
      <c r="W385" s="14">
        <f>IF(AG385="2",I385,0)</f>
        <v>0</v>
      </c>
      <c r="X385" s="14">
        <f>IF(AG385="0",J385,0)</f>
        <v>0</v>
      </c>
      <c r="Y385" s="8" t="s">
        <v>406</v>
      </c>
      <c r="Z385" s="6">
        <f>IF(AD385=0,J385,0)</f>
        <v>0</v>
      </c>
      <c r="AA385" s="6">
        <f>IF(AD385=15,J385,0)</f>
        <v>0</v>
      </c>
      <c r="AB385" s="6">
        <f>IF(AD385=21,J385,0)</f>
        <v>0</v>
      </c>
      <c r="AD385" s="14">
        <v>15</v>
      </c>
      <c r="AE385" s="14">
        <f>G385*1</f>
        <v>0</v>
      </c>
      <c r="AF385" s="14">
        <f>G385*(1-1)</f>
        <v>0</v>
      </c>
      <c r="AG385" s="11" t="s">
        <v>13</v>
      </c>
      <c r="AM385" s="14">
        <f>F385*AE385</f>
        <v>0</v>
      </c>
      <c r="AN385" s="14">
        <f>F385*AF385</f>
        <v>0</v>
      </c>
      <c r="AO385" s="15" t="s">
        <v>1696</v>
      </c>
      <c r="AP385" s="15" t="s">
        <v>1731</v>
      </c>
      <c r="AQ385" s="8" t="s">
        <v>1769</v>
      </c>
      <c r="AS385" s="14">
        <f>AM385+AN385</f>
        <v>0</v>
      </c>
      <c r="AT385" s="14">
        <f>G385/(100-AU385)*100</f>
        <v>0</v>
      </c>
      <c r="AU385" s="14">
        <v>0</v>
      </c>
      <c r="AV385" s="14">
        <f>L385</f>
        <v>0.0031529999999999996</v>
      </c>
    </row>
    <row r="386" spans="1:13" ht="12.75">
      <c r="A386" s="102"/>
      <c r="B386" s="102"/>
      <c r="C386" s="102"/>
      <c r="D386" s="103" t="s">
        <v>1100</v>
      </c>
      <c r="E386" s="102"/>
      <c r="F386" s="104">
        <v>10.51</v>
      </c>
      <c r="G386" s="102"/>
      <c r="H386" s="102"/>
      <c r="I386" s="102"/>
      <c r="J386" s="102"/>
      <c r="K386" s="102"/>
      <c r="L386" s="102"/>
      <c r="M386" s="102"/>
    </row>
    <row r="387" spans="1:48" ht="12.75">
      <c r="A387" s="99" t="s">
        <v>111</v>
      </c>
      <c r="B387" s="99" t="s">
        <v>406</v>
      </c>
      <c r="C387" s="99" t="s">
        <v>523</v>
      </c>
      <c r="D387" s="99" t="s">
        <v>1101</v>
      </c>
      <c r="E387" s="99" t="s">
        <v>1642</v>
      </c>
      <c r="F387" s="100">
        <v>0.53</v>
      </c>
      <c r="G387" s="100">
        <v>0</v>
      </c>
      <c r="H387" s="100">
        <f>F387*AE387</f>
        <v>0</v>
      </c>
      <c r="I387" s="100">
        <f>J387-H387</f>
        <v>0</v>
      </c>
      <c r="J387" s="100">
        <f>F387*G387</f>
        <v>0</v>
      </c>
      <c r="K387" s="100">
        <v>0</v>
      </c>
      <c r="L387" s="100">
        <f>F387*K387</f>
        <v>0</v>
      </c>
      <c r="M387" s="101" t="s">
        <v>1667</v>
      </c>
      <c r="P387" s="14">
        <f>IF(AG387="5",J387,0)</f>
        <v>0</v>
      </c>
      <c r="R387" s="14">
        <f>IF(AG387="1",H387,0)</f>
        <v>0</v>
      </c>
      <c r="S387" s="14">
        <f>IF(AG387="1",I387,0)</f>
        <v>0</v>
      </c>
      <c r="T387" s="14">
        <f>IF(AG387="7",H387,0)</f>
        <v>0</v>
      </c>
      <c r="U387" s="14">
        <f>IF(AG387="7",I387,0)</f>
        <v>0</v>
      </c>
      <c r="V387" s="14">
        <f>IF(AG387="2",H387,0)</f>
        <v>0</v>
      </c>
      <c r="W387" s="14">
        <f>IF(AG387="2",I387,0)</f>
        <v>0</v>
      </c>
      <c r="X387" s="14">
        <f>IF(AG387="0",J387,0)</f>
        <v>0</v>
      </c>
      <c r="Y387" s="8" t="s">
        <v>406</v>
      </c>
      <c r="Z387" s="5">
        <f>IF(AD387=0,J387,0)</f>
        <v>0</v>
      </c>
      <c r="AA387" s="5">
        <f>IF(AD387=15,J387,0)</f>
        <v>0</v>
      </c>
      <c r="AB387" s="5">
        <f>IF(AD387=21,J387,0)</f>
        <v>0</v>
      </c>
      <c r="AD387" s="14">
        <v>15</v>
      </c>
      <c r="AE387" s="14">
        <f>G387*0</f>
        <v>0</v>
      </c>
      <c r="AF387" s="14">
        <f>G387*(1-0)</f>
        <v>0</v>
      </c>
      <c r="AG387" s="10" t="s">
        <v>11</v>
      </c>
      <c r="AM387" s="14">
        <f>F387*AE387</f>
        <v>0</v>
      </c>
      <c r="AN387" s="14">
        <f>F387*AF387</f>
        <v>0</v>
      </c>
      <c r="AO387" s="15" t="s">
        <v>1696</v>
      </c>
      <c r="AP387" s="15" t="s">
        <v>1731</v>
      </c>
      <c r="AQ387" s="8" t="s">
        <v>1769</v>
      </c>
      <c r="AS387" s="14">
        <f>AM387+AN387</f>
        <v>0</v>
      </c>
      <c r="AT387" s="14">
        <f>G387/(100-AU387)*100</f>
        <v>0</v>
      </c>
      <c r="AU387" s="14">
        <v>0</v>
      </c>
      <c r="AV387" s="14">
        <f>L387</f>
        <v>0</v>
      </c>
    </row>
    <row r="388" spans="1:37" ht="12.75">
      <c r="A388" s="93"/>
      <c r="B388" s="94" t="s">
        <v>406</v>
      </c>
      <c r="C388" s="94" t="s">
        <v>524</v>
      </c>
      <c r="D388" s="95" t="s">
        <v>1102</v>
      </c>
      <c r="E388" s="96"/>
      <c r="F388" s="96"/>
      <c r="G388" s="96"/>
      <c r="H388" s="97">
        <f>SUM(H389:H389)</f>
        <v>0</v>
      </c>
      <c r="I388" s="97">
        <f>SUM(I389:I389)</f>
        <v>0</v>
      </c>
      <c r="J388" s="97">
        <f>H388+I388</f>
        <v>0</v>
      </c>
      <c r="K388" s="98"/>
      <c r="L388" s="97">
        <f>SUM(L389:L389)</f>
        <v>0.3032</v>
      </c>
      <c r="M388" s="98"/>
      <c r="Y388" s="8" t="s">
        <v>406</v>
      </c>
      <c r="AI388" s="16">
        <f>SUM(Z389:Z389)</f>
        <v>0</v>
      </c>
      <c r="AJ388" s="16">
        <f>SUM(AA389:AA389)</f>
        <v>0</v>
      </c>
      <c r="AK388" s="16">
        <f>SUM(AB389:AB389)</f>
        <v>0</v>
      </c>
    </row>
    <row r="389" spans="1:48" ht="12.75">
      <c r="A389" s="99" t="s">
        <v>112</v>
      </c>
      <c r="B389" s="99" t="s">
        <v>406</v>
      </c>
      <c r="C389" s="99" t="s">
        <v>525</v>
      </c>
      <c r="D389" s="99" t="s">
        <v>1103</v>
      </c>
      <c r="E389" s="99" t="s">
        <v>1641</v>
      </c>
      <c r="F389" s="100">
        <v>4</v>
      </c>
      <c r="G389" s="100">
        <v>0</v>
      </c>
      <c r="H389" s="100">
        <f>F389*AE389</f>
        <v>0</v>
      </c>
      <c r="I389" s="100">
        <f>J389-H389</f>
        <v>0</v>
      </c>
      <c r="J389" s="100">
        <f>F389*G389</f>
        <v>0</v>
      </c>
      <c r="K389" s="100">
        <v>0.0758</v>
      </c>
      <c r="L389" s="100">
        <f>F389*K389</f>
        <v>0.3032</v>
      </c>
      <c r="M389" s="101" t="s">
        <v>1667</v>
      </c>
      <c r="P389" s="14">
        <f>IF(AG389="5",J389,0)</f>
        <v>0</v>
      </c>
      <c r="R389" s="14">
        <f>IF(AG389="1",H389,0)</f>
        <v>0</v>
      </c>
      <c r="S389" s="14">
        <f>IF(AG389="1",I389,0)</f>
        <v>0</v>
      </c>
      <c r="T389" s="14">
        <f>IF(AG389="7",H389,0)</f>
        <v>0</v>
      </c>
      <c r="U389" s="14">
        <f>IF(AG389="7",I389,0)</f>
        <v>0</v>
      </c>
      <c r="V389" s="14">
        <f>IF(AG389="2",H389,0)</f>
        <v>0</v>
      </c>
      <c r="W389" s="14">
        <f>IF(AG389="2",I389,0)</f>
        <v>0</v>
      </c>
      <c r="X389" s="14">
        <f>IF(AG389="0",J389,0)</f>
        <v>0</v>
      </c>
      <c r="Y389" s="8" t="s">
        <v>406</v>
      </c>
      <c r="Z389" s="5">
        <f>IF(AD389=0,J389,0)</f>
        <v>0</v>
      </c>
      <c r="AA389" s="5">
        <f>IF(AD389=15,J389,0)</f>
        <v>0</v>
      </c>
      <c r="AB389" s="5">
        <f>IF(AD389=21,J389,0)</f>
        <v>0</v>
      </c>
      <c r="AD389" s="14">
        <v>15</v>
      </c>
      <c r="AE389" s="14">
        <f>G389*0.781651131501436</f>
        <v>0</v>
      </c>
      <c r="AF389" s="14">
        <f>G389*(1-0.781651131501436)</f>
        <v>0</v>
      </c>
      <c r="AG389" s="10" t="s">
        <v>13</v>
      </c>
      <c r="AM389" s="14">
        <f>F389*AE389</f>
        <v>0</v>
      </c>
      <c r="AN389" s="14">
        <f>F389*AF389</f>
        <v>0</v>
      </c>
      <c r="AO389" s="15" t="s">
        <v>1697</v>
      </c>
      <c r="AP389" s="15" t="s">
        <v>1732</v>
      </c>
      <c r="AQ389" s="8" t="s">
        <v>1769</v>
      </c>
      <c r="AS389" s="14">
        <f>AM389+AN389</f>
        <v>0</v>
      </c>
      <c r="AT389" s="14">
        <f>G389/(100-AU389)*100</f>
        <v>0</v>
      </c>
      <c r="AU389" s="14">
        <v>0</v>
      </c>
      <c r="AV389" s="14">
        <f>L389</f>
        <v>0.3032</v>
      </c>
    </row>
    <row r="390" spans="1:37" ht="12.75">
      <c r="A390" s="93"/>
      <c r="B390" s="94" t="s">
        <v>406</v>
      </c>
      <c r="C390" s="94" t="s">
        <v>526</v>
      </c>
      <c r="D390" s="95" t="s">
        <v>1104</v>
      </c>
      <c r="E390" s="96"/>
      <c r="F390" s="96"/>
      <c r="G390" s="96"/>
      <c r="H390" s="97">
        <f>SUM(H391:H391)</f>
        <v>0</v>
      </c>
      <c r="I390" s="97">
        <f>SUM(I391:I391)</f>
        <v>0</v>
      </c>
      <c r="J390" s="97">
        <f>H390+I390</f>
        <v>0</v>
      </c>
      <c r="K390" s="98"/>
      <c r="L390" s="97">
        <f>SUM(L391:L391)</f>
        <v>0</v>
      </c>
      <c r="M390" s="98"/>
      <c r="Y390" s="8" t="s">
        <v>406</v>
      </c>
      <c r="AI390" s="16">
        <f>SUM(Z391:Z391)</f>
        <v>0</v>
      </c>
      <c r="AJ390" s="16">
        <f>SUM(AA391:AA391)</f>
        <v>0</v>
      </c>
      <c r="AK390" s="16">
        <f>SUM(AB391:AB391)</f>
        <v>0</v>
      </c>
    </row>
    <row r="391" spans="1:48" ht="12.75">
      <c r="A391" s="99" t="s">
        <v>113</v>
      </c>
      <c r="B391" s="99" t="s">
        <v>406</v>
      </c>
      <c r="C391" s="99" t="s">
        <v>527</v>
      </c>
      <c r="D391" s="99" t="s">
        <v>1105</v>
      </c>
      <c r="E391" s="99" t="s">
        <v>1645</v>
      </c>
      <c r="F391" s="100">
        <v>1</v>
      </c>
      <c r="G391" s="100">
        <v>0</v>
      </c>
      <c r="H391" s="100">
        <f>F391*AE391</f>
        <v>0</v>
      </c>
      <c r="I391" s="100">
        <f>J391-H391</f>
        <v>0</v>
      </c>
      <c r="J391" s="100">
        <f>F391*G391</f>
        <v>0</v>
      </c>
      <c r="K391" s="100">
        <v>0</v>
      </c>
      <c r="L391" s="100">
        <f>F391*K391</f>
        <v>0</v>
      </c>
      <c r="M391" s="101" t="s">
        <v>1669</v>
      </c>
      <c r="P391" s="14">
        <f>IF(AG391="5",J391,0)</f>
        <v>0</v>
      </c>
      <c r="R391" s="14">
        <f>IF(AG391="1",H391,0)</f>
        <v>0</v>
      </c>
      <c r="S391" s="14">
        <f>IF(AG391="1",I391,0)</f>
        <v>0</v>
      </c>
      <c r="T391" s="14">
        <f>IF(AG391="7",H391,0)</f>
        <v>0</v>
      </c>
      <c r="U391" s="14">
        <f>IF(AG391="7",I391,0)</f>
        <v>0</v>
      </c>
      <c r="V391" s="14">
        <f>IF(AG391="2",H391,0)</f>
        <v>0</v>
      </c>
      <c r="W391" s="14">
        <f>IF(AG391="2",I391,0)</f>
        <v>0</v>
      </c>
      <c r="X391" s="14">
        <f>IF(AG391="0",J391,0)</f>
        <v>0</v>
      </c>
      <c r="Y391" s="8" t="s">
        <v>406</v>
      </c>
      <c r="Z391" s="5">
        <f>IF(AD391=0,J391,0)</f>
        <v>0</v>
      </c>
      <c r="AA391" s="5">
        <f>IF(AD391=15,J391,0)</f>
        <v>0</v>
      </c>
      <c r="AB391" s="5">
        <f>IF(AD391=21,J391,0)</f>
        <v>0</v>
      </c>
      <c r="AD391" s="14">
        <v>15</v>
      </c>
      <c r="AE391" s="14">
        <f>G391*0</f>
        <v>0</v>
      </c>
      <c r="AF391" s="14">
        <f>G391*(1-0)</f>
        <v>0</v>
      </c>
      <c r="AG391" s="10" t="s">
        <v>13</v>
      </c>
      <c r="AM391" s="14">
        <f>F391*AE391</f>
        <v>0</v>
      </c>
      <c r="AN391" s="14">
        <f>F391*AF391</f>
        <v>0</v>
      </c>
      <c r="AO391" s="15" t="s">
        <v>1698</v>
      </c>
      <c r="AP391" s="15" t="s">
        <v>1732</v>
      </c>
      <c r="AQ391" s="8" t="s">
        <v>1769</v>
      </c>
      <c r="AS391" s="14">
        <f>AM391+AN391</f>
        <v>0</v>
      </c>
      <c r="AT391" s="14">
        <f>G391/(100-AU391)*100</f>
        <v>0</v>
      </c>
      <c r="AU391" s="14">
        <v>0</v>
      </c>
      <c r="AV391" s="14">
        <f>L391</f>
        <v>0</v>
      </c>
    </row>
    <row r="392" spans="1:37" ht="12.75">
      <c r="A392" s="93"/>
      <c r="B392" s="94" t="s">
        <v>406</v>
      </c>
      <c r="C392" s="94" t="s">
        <v>528</v>
      </c>
      <c r="D392" s="95" t="s">
        <v>1106</v>
      </c>
      <c r="E392" s="96"/>
      <c r="F392" s="96"/>
      <c r="G392" s="96"/>
      <c r="H392" s="97">
        <f>SUM(H393:H393)</f>
        <v>0</v>
      </c>
      <c r="I392" s="97">
        <f>SUM(I393:I393)</f>
        <v>0</v>
      </c>
      <c r="J392" s="97">
        <f>H392+I392</f>
        <v>0</v>
      </c>
      <c r="K392" s="98"/>
      <c r="L392" s="97">
        <f>SUM(L393:L393)</f>
        <v>0</v>
      </c>
      <c r="M392" s="98"/>
      <c r="Y392" s="8" t="s">
        <v>406</v>
      </c>
      <c r="AI392" s="16">
        <f>SUM(Z393:Z393)</f>
        <v>0</v>
      </c>
      <c r="AJ392" s="16">
        <f>SUM(AA393:AA393)</f>
        <v>0</v>
      </c>
      <c r="AK392" s="16">
        <f>SUM(AB393:AB393)</f>
        <v>0</v>
      </c>
    </row>
    <row r="393" spans="1:48" ht="12.75">
      <c r="A393" s="99" t="s">
        <v>114</v>
      </c>
      <c r="B393" s="99" t="s">
        <v>406</v>
      </c>
      <c r="C393" s="99" t="s">
        <v>529</v>
      </c>
      <c r="D393" s="99" t="s">
        <v>1107</v>
      </c>
      <c r="E393" s="99" t="s">
        <v>1645</v>
      </c>
      <c r="F393" s="100">
        <v>1</v>
      </c>
      <c r="G393" s="100">
        <v>0</v>
      </c>
      <c r="H393" s="100">
        <f>F393*AE393</f>
        <v>0</v>
      </c>
      <c r="I393" s="100">
        <f>J393-H393</f>
        <v>0</v>
      </c>
      <c r="J393" s="100">
        <f>F393*G393</f>
        <v>0</v>
      </c>
      <c r="K393" s="100">
        <v>0</v>
      </c>
      <c r="L393" s="100">
        <f>F393*K393</f>
        <v>0</v>
      </c>
      <c r="M393" s="101" t="s">
        <v>1669</v>
      </c>
      <c r="P393" s="14">
        <f>IF(AG393="5",J393,0)</f>
        <v>0</v>
      </c>
      <c r="R393" s="14">
        <f>IF(AG393="1",H393,0)</f>
        <v>0</v>
      </c>
      <c r="S393" s="14">
        <f>IF(AG393="1",I393,0)</f>
        <v>0</v>
      </c>
      <c r="T393" s="14">
        <f>IF(AG393="7",H393,0)</f>
        <v>0</v>
      </c>
      <c r="U393" s="14">
        <f>IF(AG393="7",I393,0)</f>
        <v>0</v>
      </c>
      <c r="V393" s="14">
        <f>IF(AG393="2",H393,0)</f>
        <v>0</v>
      </c>
      <c r="W393" s="14">
        <f>IF(AG393="2",I393,0)</f>
        <v>0</v>
      </c>
      <c r="X393" s="14">
        <f>IF(AG393="0",J393,0)</f>
        <v>0</v>
      </c>
      <c r="Y393" s="8" t="s">
        <v>406</v>
      </c>
      <c r="Z393" s="5">
        <f>IF(AD393=0,J393,0)</f>
        <v>0</v>
      </c>
      <c r="AA393" s="5">
        <f>IF(AD393=15,J393,0)</f>
        <v>0</v>
      </c>
      <c r="AB393" s="5">
        <f>IF(AD393=21,J393,0)</f>
        <v>0</v>
      </c>
      <c r="AD393" s="14">
        <v>15</v>
      </c>
      <c r="AE393" s="14">
        <f>G393*0</f>
        <v>0</v>
      </c>
      <c r="AF393" s="14">
        <f>G393*(1-0)</f>
        <v>0</v>
      </c>
      <c r="AG393" s="10" t="s">
        <v>13</v>
      </c>
      <c r="AM393" s="14">
        <f>F393*AE393</f>
        <v>0</v>
      </c>
      <c r="AN393" s="14">
        <f>F393*AF393</f>
        <v>0</v>
      </c>
      <c r="AO393" s="15" t="s">
        <v>1699</v>
      </c>
      <c r="AP393" s="15" t="s">
        <v>1733</v>
      </c>
      <c r="AQ393" s="8" t="s">
        <v>1769</v>
      </c>
      <c r="AS393" s="14">
        <f>AM393+AN393</f>
        <v>0</v>
      </c>
      <c r="AT393" s="14">
        <f>G393/(100-AU393)*100</f>
        <v>0</v>
      </c>
      <c r="AU393" s="14">
        <v>0</v>
      </c>
      <c r="AV393" s="14">
        <f>L393</f>
        <v>0</v>
      </c>
    </row>
    <row r="394" spans="1:37" ht="12.75">
      <c r="A394" s="93"/>
      <c r="B394" s="94" t="s">
        <v>406</v>
      </c>
      <c r="C394" s="94" t="s">
        <v>81</v>
      </c>
      <c r="D394" s="95" t="s">
        <v>1108</v>
      </c>
      <c r="E394" s="96"/>
      <c r="F394" s="96"/>
      <c r="G394" s="96"/>
      <c r="H394" s="97">
        <f>SUM(H395:H396)</f>
        <v>0</v>
      </c>
      <c r="I394" s="97">
        <f>SUM(I395:I396)</f>
        <v>0</v>
      </c>
      <c r="J394" s="97">
        <f>H394+I394</f>
        <v>0</v>
      </c>
      <c r="K394" s="98"/>
      <c r="L394" s="97">
        <f>SUM(L395:L396)</f>
        <v>0</v>
      </c>
      <c r="M394" s="98"/>
      <c r="Y394" s="8" t="s">
        <v>406</v>
      </c>
      <c r="AI394" s="16">
        <f>SUM(Z395:Z396)</f>
        <v>0</v>
      </c>
      <c r="AJ394" s="16">
        <f>SUM(AA395:AA396)</f>
        <v>0</v>
      </c>
      <c r="AK394" s="16">
        <f>SUM(AB395:AB396)</f>
        <v>0</v>
      </c>
    </row>
    <row r="395" spans="1:48" ht="12.75">
      <c r="A395" s="99" t="s">
        <v>115</v>
      </c>
      <c r="B395" s="99" t="s">
        <v>406</v>
      </c>
      <c r="C395" s="99" t="s">
        <v>530</v>
      </c>
      <c r="D395" s="99" t="s">
        <v>1109</v>
      </c>
      <c r="E395" s="99" t="s">
        <v>1645</v>
      </c>
      <c r="F395" s="100">
        <v>1</v>
      </c>
      <c r="G395" s="100">
        <v>0</v>
      </c>
      <c r="H395" s="100">
        <f>F395*AE395</f>
        <v>0</v>
      </c>
      <c r="I395" s="100">
        <f>J395-H395</f>
        <v>0</v>
      </c>
      <c r="J395" s="100">
        <f>F395*G395</f>
        <v>0</v>
      </c>
      <c r="K395" s="100">
        <v>0</v>
      </c>
      <c r="L395" s="100">
        <f>F395*K395</f>
        <v>0</v>
      </c>
      <c r="M395" s="101" t="s">
        <v>1669</v>
      </c>
      <c r="P395" s="14">
        <f>IF(AG395="5",J395,0)</f>
        <v>0</v>
      </c>
      <c r="R395" s="14">
        <f>IF(AG395="1",H395,0)</f>
        <v>0</v>
      </c>
      <c r="S395" s="14">
        <f>IF(AG395="1",I395,0)</f>
        <v>0</v>
      </c>
      <c r="T395" s="14">
        <f>IF(AG395="7",H395,0)</f>
        <v>0</v>
      </c>
      <c r="U395" s="14">
        <f>IF(AG395="7",I395,0)</f>
        <v>0</v>
      </c>
      <c r="V395" s="14">
        <f>IF(AG395="2",H395,0)</f>
        <v>0</v>
      </c>
      <c r="W395" s="14">
        <f>IF(AG395="2",I395,0)</f>
        <v>0</v>
      </c>
      <c r="X395" s="14">
        <f>IF(AG395="0",J395,0)</f>
        <v>0</v>
      </c>
      <c r="Y395" s="8" t="s">
        <v>406</v>
      </c>
      <c r="Z395" s="5">
        <f>IF(AD395=0,J395,0)</f>
        <v>0</v>
      </c>
      <c r="AA395" s="5">
        <f>IF(AD395=15,J395,0)</f>
        <v>0</v>
      </c>
      <c r="AB395" s="5">
        <f>IF(AD395=21,J395,0)</f>
        <v>0</v>
      </c>
      <c r="AD395" s="14">
        <v>15</v>
      </c>
      <c r="AE395" s="14">
        <f>G395*0</f>
        <v>0</v>
      </c>
      <c r="AF395" s="14">
        <f>G395*(1-0)</f>
        <v>0</v>
      </c>
      <c r="AG395" s="10" t="s">
        <v>13</v>
      </c>
      <c r="AM395" s="14">
        <f>F395*AE395</f>
        <v>0</v>
      </c>
      <c r="AN395" s="14">
        <f>F395*AF395</f>
        <v>0</v>
      </c>
      <c r="AO395" s="15" t="s">
        <v>1700</v>
      </c>
      <c r="AP395" s="15" t="s">
        <v>1734</v>
      </c>
      <c r="AQ395" s="8" t="s">
        <v>1769</v>
      </c>
      <c r="AS395" s="14">
        <f>AM395+AN395</f>
        <v>0</v>
      </c>
      <c r="AT395" s="14">
        <f>G395/(100-AU395)*100</f>
        <v>0</v>
      </c>
      <c r="AU395" s="14">
        <v>0</v>
      </c>
      <c r="AV395" s="14">
        <f>L395</f>
        <v>0</v>
      </c>
    </row>
    <row r="396" spans="1:48" ht="12.75">
      <c r="A396" s="99" t="s">
        <v>116</v>
      </c>
      <c r="B396" s="99" t="s">
        <v>406</v>
      </c>
      <c r="C396" s="99" t="s">
        <v>531</v>
      </c>
      <c r="D396" s="99" t="s">
        <v>1110</v>
      </c>
      <c r="E396" s="99" t="s">
        <v>1645</v>
      </c>
      <c r="F396" s="100">
        <v>1</v>
      </c>
      <c r="G396" s="100">
        <v>0</v>
      </c>
      <c r="H396" s="100">
        <f>F396*AE396</f>
        <v>0</v>
      </c>
      <c r="I396" s="100">
        <f>J396-H396</f>
        <v>0</v>
      </c>
      <c r="J396" s="100">
        <f>F396*G396</f>
        <v>0</v>
      </c>
      <c r="K396" s="100">
        <v>0</v>
      </c>
      <c r="L396" s="100">
        <f>F396*K396</f>
        <v>0</v>
      </c>
      <c r="M396" s="101" t="s">
        <v>1669</v>
      </c>
      <c r="P396" s="14">
        <f>IF(AG396="5",J396,0)</f>
        <v>0</v>
      </c>
      <c r="R396" s="14">
        <f>IF(AG396="1",H396,0)</f>
        <v>0</v>
      </c>
      <c r="S396" s="14">
        <f>IF(AG396="1",I396,0)</f>
        <v>0</v>
      </c>
      <c r="T396" s="14">
        <f>IF(AG396="7",H396,0)</f>
        <v>0</v>
      </c>
      <c r="U396" s="14">
        <f>IF(AG396="7",I396,0)</f>
        <v>0</v>
      </c>
      <c r="V396" s="14">
        <f>IF(AG396="2",H396,0)</f>
        <v>0</v>
      </c>
      <c r="W396" s="14">
        <f>IF(AG396="2",I396,0)</f>
        <v>0</v>
      </c>
      <c r="X396" s="14">
        <f>IF(AG396="0",J396,0)</f>
        <v>0</v>
      </c>
      <c r="Y396" s="8" t="s">
        <v>406</v>
      </c>
      <c r="Z396" s="5">
        <f>IF(AD396=0,J396,0)</f>
        <v>0</v>
      </c>
      <c r="AA396" s="5">
        <f>IF(AD396=15,J396,0)</f>
        <v>0</v>
      </c>
      <c r="AB396" s="5">
        <f>IF(AD396=21,J396,0)</f>
        <v>0</v>
      </c>
      <c r="AD396" s="14">
        <v>15</v>
      </c>
      <c r="AE396" s="14">
        <f>G396*0</f>
        <v>0</v>
      </c>
      <c r="AF396" s="14">
        <f>G396*(1-0)</f>
        <v>0</v>
      </c>
      <c r="AG396" s="10" t="s">
        <v>13</v>
      </c>
      <c r="AM396" s="14">
        <f>F396*AE396</f>
        <v>0</v>
      </c>
      <c r="AN396" s="14">
        <f>F396*AF396</f>
        <v>0</v>
      </c>
      <c r="AO396" s="15" t="s">
        <v>1700</v>
      </c>
      <c r="AP396" s="15" t="s">
        <v>1734</v>
      </c>
      <c r="AQ396" s="8" t="s">
        <v>1769</v>
      </c>
      <c r="AS396" s="14">
        <f>AM396+AN396</f>
        <v>0</v>
      </c>
      <c r="AT396" s="14">
        <f>G396/(100-AU396)*100</f>
        <v>0</v>
      </c>
      <c r="AU396" s="14">
        <v>0</v>
      </c>
      <c r="AV396" s="14">
        <f>L396</f>
        <v>0</v>
      </c>
    </row>
    <row r="397" spans="1:37" ht="12.75">
      <c r="A397" s="93"/>
      <c r="B397" s="94" t="s">
        <v>406</v>
      </c>
      <c r="C397" s="94" t="s">
        <v>532</v>
      </c>
      <c r="D397" s="95" t="s">
        <v>1111</v>
      </c>
      <c r="E397" s="96"/>
      <c r="F397" s="96"/>
      <c r="G397" s="96"/>
      <c r="H397" s="97">
        <f>SUM(H398:H467)</f>
        <v>0</v>
      </c>
      <c r="I397" s="97">
        <f>SUM(I398:I467)</f>
        <v>0</v>
      </c>
      <c r="J397" s="97">
        <f>H397+I397</f>
        <v>0</v>
      </c>
      <c r="K397" s="98"/>
      <c r="L397" s="97">
        <f>SUM(L398:L467)</f>
        <v>6.040820300000002</v>
      </c>
      <c r="M397" s="98"/>
      <c r="Y397" s="8" t="s">
        <v>406</v>
      </c>
      <c r="AI397" s="16">
        <f>SUM(Z398:Z467)</f>
        <v>0</v>
      </c>
      <c r="AJ397" s="16">
        <f>SUM(AA398:AA467)</f>
        <v>0</v>
      </c>
      <c r="AK397" s="16">
        <f>SUM(AB398:AB467)</f>
        <v>0</v>
      </c>
    </row>
    <row r="398" spans="1:48" ht="12.75">
      <c r="A398" s="99" t="s">
        <v>117</v>
      </c>
      <c r="B398" s="99" t="s">
        <v>406</v>
      </c>
      <c r="C398" s="99" t="s">
        <v>533</v>
      </c>
      <c r="D398" s="99" t="s">
        <v>1112</v>
      </c>
      <c r="E398" s="99" t="s">
        <v>1643</v>
      </c>
      <c r="F398" s="100">
        <v>22.02</v>
      </c>
      <c r="G398" s="100">
        <v>0</v>
      </c>
      <c r="H398" s="100">
        <f>F398*AE398</f>
        <v>0</v>
      </c>
      <c r="I398" s="100">
        <f>J398-H398</f>
        <v>0</v>
      </c>
      <c r="J398" s="100">
        <f>F398*G398</f>
        <v>0</v>
      </c>
      <c r="K398" s="100">
        <v>0.01115</v>
      </c>
      <c r="L398" s="100">
        <f>F398*K398</f>
        <v>0.245523</v>
      </c>
      <c r="M398" s="101" t="s">
        <v>1667</v>
      </c>
      <c r="P398" s="14">
        <f>IF(AG398="5",J398,0)</f>
        <v>0</v>
      </c>
      <c r="R398" s="14">
        <f>IF(AG398="1",H398,0)</f>
        <v>0</v>
      </c>
      <c r="S398" s="14">
        <f>IF(AG398="1",I398,0)</f>
        <v>0</v>
      </c>
      <c r="T398" s="14">
        <f>IF(AG398="7",H398,0)</f>
        <v>0</v>
      </c>
      <c r="U398" s="14">
        <f>IF(AG398="7",I398,0)</f>
        <v>0</v>
      </c>
      <c r="V398" s="14">
        <f>IF(AG398="2",H398,0)</f>
        <v>0</v>
      </c>
      <c r="W398" s="14">
        <f>IF(AG398="2",I398,0)</f>
        <v>0</v>
      </c>
      <c r="X398" s="14">
        <f>IF(AG398="0",J398,0)</f>
        <v>0</v>
      </c>
      <c r="Y398" s="8" t="s">
        <v>406</v>
      </c>
      <c r="Z398" s="5">
        <f>IF(AD398=0,J398,0)</f>
        <v>0</v>
      </c>
      <c r="AA398" s="5">
        <f>IF(AD398=15,J398,0)</f>
        <v>0</v>
      </c>
      <c r="AB398" s="5">
        <f>IF(AD398=21,J398,0)</f>
        <v>0</v>
      </c>
      <c r="AD398" s="14">
        <v>15</v>
      </c>
      <c r="AE398" s="14">
        <f>G398*0.437008007027264</f>
        <v>0</v>
      </c>
      <c r="AF398" s="14">
        <f>G398*(1-0.437008007027264)</f>
        <v>0</v>
      </c>
      <c r="AG398" s="10" t="s">
        <v>13</v>
      </c>
      <c r="AM398" s="14">
        <f>F398*AE398</f>
        <v>0</v>
      </c>
      <c r="AN398" s="14">
        <f>F398*AF398</f>
        <v>0</v>
      </c>
      <c r="AO398" s="15" t="s">
        <v>1701</v>
      </c>
      <c r="AP398" s="15" t="s">
        <v>1735</v>
      </c>
      <c r="AQ398" s="8" t="s">
        <v>1769</v>
      </c>
      <c r="AS398" s="14">
        <f>AM398+AN398</f>
        <v>0</v>
      </c>
      <c r="AT398" s="14">
        <f>G398/(100-AU398)*100</f>
        <v>0</v>
      </c>
      <c r="AU398" s="14">
        <v>0</v>
      </c>
      <c r="AV398" s="14">
        <f>L398</f>
        <v>0.245523</v>
      </c>
    </row>
    <row r="399" spans="1:13" ht="12.75">
      <c r="A399" s="102"/>
      <c r="B399" s="102"/>
      <c r="C399" s="102"/>
      <c r="D399" s="103" t="s">
        <v>1113</v>
      </c>
      <c r="E399" s="102"/>
      <c r="F399" s="104">
        <v>22.02</v>
      </c>
      <c r="G399" s="102"/>
      <c r="H399" s="102"/>
      <c r="I399" s="102"/>
      <c r="J399" s="102"/>
      <c r="K399" s="102"/>
      <c r="L399" s="102"/>
      <c r="M399" s="102"/>
    </row>
    <row r="400" spans="1:48" ht="12.75">
      <c r="A400" s="99" t="s">
        <v>118</v>
      </c>
      <c r="B400" s="99" t="s">
        <v>406</v>
      </c>
      <c r="C400" s="99" t="s">
        <v>534</v>
      </c>
      <c r="D400" s="99" t="s">
        <v>1112</v>
      </c>
      <c r="E400" s="99" t="s">
        <v>1643</v>
      </c>
      <c r="F400" s="100">
        <v>8.3</v>
      </c>
      <c r="G400" s="100">
        <v>0</v>
      </c>
      <c r="H400" s="100">
        <f>F400*AE400</f>
        <v>0</v>
      </c>
      <c r="I400" s="100">
        <f>J400-H400</f>
        <v>0</v>
      </c>
      <c r="J400" s="100">
        <f>F400*G400</f>
        <v>0</v>
      </c>
      <c r="K400" s="100">
        <v>0.00099</v>
      </c>
      <c r="L400" s="100">
        <f>F400*K400</f>
        <v>0.008217</v>
      </c>
      <c r="M400" s="101" t="s">
        <v>1667</v>
      </c>
      <c r="P400" s="14">
        <f>IF(AG400="5",J400,0)</f>
        <v>0</v>
      </c>
      <c r="R400" s="14">
        <f>IF(AG400="1",H400,0)</f>
        <v>0</v>
      </c>
      <c r="S400" s="14">
        <f>IF(AG400="1",I400,0)</f>
        <v>0</v>
      </c>
      <c r="T400" s="14">
        <f>IF(AG400="7",H400,0)</f>
        <v>0</v>
      </c>
      <c r="U400" s="14">
        <f>IF(AG400="7",I400,0)</f>
        <v>0</v>
      </c>
      <c r="V400" s="14">
        <f>IF(AG400="2",H400,0)</f>
        <v>0</v>
      </c>
      <c r="W400" s="14">
        <f>IF(AG400="2",I400,0)</f>
        <v>0</v>
      </c>
      <c r="X400" s="14">
        <f>IF(AG400="0",J400,0)</f>
        <v>0</v>
      </c>
      <c r="Y400" s="8" t="s">
        <v>406</v>
      </c>
      <c r="Z400" s="5">
        <f>IF(AD400=0,J400,0)</f>
        <v>0</v>
      </c>
      <c r="AA400" s="5">
        <f>IF(AD400=15,J400,0)</f>
        <v>0</v>
      </c>
      <c r="AB400" s="5">
        <f>IF(AD400=21,J400,0)</f>
        <v>0</v>
      </c>
      <c r="AD400" s="14">
        <v>15</v>
      </c>
      <c r="AE400" s="14">
        <f>G400*0.033914373088685</f>
        <v>0</v>
      </c>
      <c r="AF400" s="14">
        <f>G400*(1-0.033914373088685)</f>
        <v>0</v>
      </c>
      <c r="AG400" s="10" t="s">
        <v>13</v>
      </c>
      <c r="AM400" s="14">
        <f>F400*AE400</f>
        <v>0</v>
      </c>
      <c r="AN400" s="14">
        <f>F400*AF400</f>
        <v>0</v>
      </c>
      <c r="AO400" s="15" t="s">
        <v>1701</v>
      </c>
      <c r="AP400" s="15" t="s">
        <v>1735</v>
      </c>
      <c r="AQ400" s="8" t="s">
        <v>1769</v>
      </c>
      <c r="AS400" s="14">
        <f>AM400+AN400</f>
        <v>0</v>
      </c>
      <c r="AT400" s="14">
        <f>G400/(100-AU400)*100</f>
        <v>0</v>
      </c>
      <c r="AU400" s="14">
        <v>0</v>
      </c>
      <c r="AV400" s="14">
        <f>L400</f>
        <v>0.008217</v>
      </c>
    </row>
    <row r="401" spans="1:13" ht="12.75">
      <c r="A401" s="102"/>
      <c r="B401" s="102"/>
      <c r="C401" s="102"/>
      <c r="D401" s="103" t="s">
        <v>1114</v>
      </c>
      <c r="E401" s="102"/>
      <c r="F401" s="104">
        <v>8.3</v>
      </c>
      <c r="G401" s="102"/>
      <c r="H401" s="102"/>
      <c r="I401" s="102"/>
      <c r="J401" s="102"/>
      <c r="K401" s="102"/>
      <c r="L401" s="102"/>
      <c r="M401" s="102"/>
    </row>
    <row r="402" spans="1:48" ht="12.75">
      <c r="A402" s="99" t="s">
        <v>119</v>
      </c>
      <c r="B402" s="99" t="s">
        <v>406</v>
      </c>
      <c r="C402" s="99" t="s">
        <v>535</v>
      </c>
      <c r="D402" s="99" t="s">
        <v>1115</v>
      </c>
      <c r="E402" s="99" t="s">
        <v>1643</v>
      </c>
      <c r="F402" s="100">
        <v>11.01</v>
      </c>
      <c r="G402" s="100">
        <v>0</v>
      </c>
      <c r="H402" s="100">
        <f>F402*AE402</f>
        <v>0</v>
      </c>
      <c r="I402" s="100">
        <f>J402-H402</f>
        <v>0</v>
      </c>
      <c r="J402" s="100">
        <f>F402*G402</f>
        <v>0</v>
      </c>
      <c r="K402" s="100">
        <v>0.02228</v>
      </c>
      <c r="L402" s="100">
        <f>F402*K402</f>
        <v>0.24530280000000002</v>
      </c>
      <c r="M402" s="101" t="s">
        <v>1667</v>
      </c>
      <c r="P402" s="14">
        <f>IF(AG402="5",J402,0)</f>
        <v>0</v>
      </c>
      <c r="R402" s="14">
        <f>IF(AG402="1",H402,0)</f>
        <v>0</v>
      </c>
      <c r="S402" s="14">
        <f>IF(AG402="1",I402,0)</f>
        <v>0</v>
      </c>
      <c r="T402" s="14">
        <f>IF(AG402="7",H402,0)</f>
        <v>0</v>
      </c>
      <c r="U402" s="14">
        <f>IF(AG402="7",I402,0)</f>
        <v>0</v>
      </c>
      <c r="V402" s="14">
        <f>IF(AG402="2",H402,0)</f>
        <v>0</v>
      </c>
      <c r="W402" s="14">
        <f>IF(AG402="2",I402,0)</f>
        <v>0</v>
      </c>
      <c r="X402" s="14">
        <f>IF(AG402="0",J402,0)</f>
        <v>0</v>
      </c>
      <c r="Y402" s="8" t="s">
        <v>406</v>
      </c>
      <c r="Z402" s="5">
        <f>IF(AD402=0,J402,0)</f>
        <v>0</v>
      </c>
      <c r="AA402" s="5">
        <f>IF(AD402=15,J402,0)</f>
        <v>0</v>
      </c>
      <c r="AB402" s="5">
        <f>IF(AD402=21,J402,0)</f>
        <v>0</v>
      </c>
      <c r="AD402" s="14">
        <v>15</v>
      </c>
      <c r="AE402" s="14">
        <f>G402*0.561536926147705</f>
        <v>0</v>
      </c>
      <c r="AF402" s="14">
        <f>G402*(1-0.561536926147705)</f>
        <v>0</v>
      </c>
      <c r="AG402" s="10" t="s">
        <v>13</v>
      </c>
      <c r="AM402" s="14">
        <f>F402*AE402</f>
        <v>0</v>
      </c>
      <c r="AN402" s="14">
        <f>F402*AF402</f>
        <v>0</v>
      </c>
      <c r="AO402" s="15" t="s">
        <v>1701</v>
      </c>
      <c r="AP402" s="15" t="s">
        <v>1735</v>
      </c>
      <c r="AQ402" s="8" t="s">
        <v>1769</v>
      </c>
      <c r="AS402" s="14">
        <f>AM402+AN402</f>
        <v>0</v>
      </c>
      <c r="AT402" s="14">
        <f>G402/(100-AU402)*100</f>
        <v>0</v>
      </c>
      <c r="AU402" s="14">
        <v>0</v>
      </c>
      <c r="AV402" s="14">
        <f>L402</f>
        <v>0.24530280000000002</v>
      </c>
    </row>
    <row r="403" spans="1:13" ht="12.75">
      <c r="A403" s="102"/>
      <c r="B403" s="102"/>
      <c r="C403" s="102"/>
      <c r="D403" s="103" t="s">
        <v>1116</v>
      </c>
      <c r="E403" s="102"/>
      <c r="F403" s="104">
        <v>11.01</v>
      </c>
      <c r="G403" s="102"/>
      <c r="H403" s="102"/>
      <c r="I403" s="102"/>
      <c r="J403" s="102"/>
      <c r="K403" s="102"/>
      <c r="L403" s="102"/>
      <c r="M403" s="102"/>
    </row>
    <row r="404" spans="1:48" ht="12.75">
      <c r="A404" s="99" t="s">
        <v>120</v>
      </c>
      <c r="B404" s="99" t="s">
        <v>406</v>
      </c>
      <c r="C404" s="99" t="s">
        <v>536</v>
      </c>
      <c r="D404" s="99" t="s">
        <v>1117</v>
      </c>
      <c r="E404" s="99" t="s">
        <v>1643</v>
      </c>
      <c r="F404" s="100">
        <v>114.62</v>
      </c>
      <c r="G404" s="100">
        <v>0</v>
      </c>
      <c r="H404" s="100">
        <f>F404*AE404</f>
        <v>0</v>
      </c>
      <c r="I404" s="100">
        <f>J404-H404</f>
        <v>0</v>
      </c>
      <c r="J404" s="100">
        <f>F404*G404</f>
        <v>0</v>
      </c>
      <c r="K404" s="100">
        <v>0.01793</v>
      </c>
      <c r="L404" s="100">
        <f>F404*K404</f>
        <v>2.0551366000000004</v>
      </c>
      <c r="M404" s="101" t="s">
        <v>1667</v>
      </c>
      <c r="P404" s="14">
        <f>IF(AG404="5",J404,0)</f>
        <v>0</v>
      </c>
      <c r="R404" s="14">
        <f>IF(AG404="1",H404,0)</f>
        <v>0</v>
      </c>
      <c r="S404" s="14">
        <f>IF(AG404="1",I404,0)</f>
        <v>0</v>
      </c>
      <c r="T404" s="14">
        <f>IF(AG404="7",H404,0)</f>
        <v>0</v>
      </c>
      <c r="U404" s="14">
        <f>IF(AG404="7",I404,0)</f>
        <v>0</v>
      </c>
      <c r="V404" s="14">
        <f>IF(AG404="2",H404,0)</f>
        <v>0</v>
      </c>
      <c r="W404" s="14">
        <f>IF(AG404="2",I404,0)</f>
        <v>0</v>
      </c>
      <c r="X404" s="14">
        <f>IF(AG404="0",J404,0)</f>
        <v>0</v>
      </c>
      <c r="Y404" s="8" t="s">
        <v>406</v>
      </c>
      <c r="Z404" s="5">
        <f>IF(AD404=0,J404,0)</f>
        <v>0</v>
      </c>
      <c r="AA404" s="5">
        <f>IF(AD404=15,J404,0)</f>
        <v>0</v>
      </c>
      <c r="AB404" s="5">
        <f>IF(AD404=21,J404,0)</f>
        <v>0</v>
      </c>
      <c r="AD404" s="14">
        <v>15</v>
      </c>
      <c r="AE404" s="14">
        <f>G404*0.515593220338983</f>
        <v>0</v>
      </c>
      <c r="AF404" s="14">
        <f>G404*(1-0.515593220338983)</f>
        <v>0</v>
      </c>
      <c r="AG404" s="10" t="s">
        <v>13</v>
      </c>
      <c r="AM404" s="14">
        <f>F404*AE404</f>
        <v>0</v>
      </c>
      <c r="AN404" s="14">
        <f>F404*AF404</f>
        <v>0</v>
      </c>
      <c r="AO404" s="15" t="s">
        <v>1701</v>
      </c>
      <c r="AP404" s="15" t="s">
        <v>1735</v>
      </c>
      <c r="AQ404" s="8" t="s">
        <v>1769</v>
      </c>
      <c r="AS404" s="14">
        <f>AM404+AN404</f>
        <v>0</v>
      </c>
      <c r="AT404" s="14">
        <f>G404/(100-AU404)*100</f>
        <v>0</v>
      </c>
      <c r="AU404" s="14">
        <v>0</v>
      </c>
      <c r="AV404" s="14">
        <f>L404</f>
        <v>2.0551366000000004</v>
      </c>
    </row>
    <row r="405" spans="1:13" ht="12.75">
      <c r="A405" s="102"/>
      <c r="B405" s="102"/>
      <c r="C405" s="102"/>
      <c r="D405" s="103" t="s">
        <v>1118</v>
      </c>
      <c r="E405" s="102"/>
      <c r="F405" s="104">
        <v>114.62</v>
      </c>
      <c r="G405" s="102"/>
      <c r="H405" s="102"/>
      <c r="I405" s="102"/>
      <c r="J405" s="102"/>
      <c r="K405" s="102"/>
      <c r="L405" s="102"/>
      <c r="M405" s="102"/>
    </row>
    <row r="406" spans="1:48" ht="12.75">
      <c r="A406" s="99" t="s">
        <v>121</v>
      </c>
      <c r="B406" s="99" t="s">
        <v>406</v>
      </c>
      <c r="C406" s="99" t="s">
        <v>537</v>
      </c>
      <c r="D406" s="99" t="s">
        <v>1119</v>
      </c>
      <c r="E406" s="99" t="s">
        <v>1643</v>
      </c>
      <c r="F406" s="100">
        <v>184.8</v>
      </c>
      <c r="G406" s="100">
        <v>0</v>
      </c>
      <c r="H406" s="100">
        <f>F406*AE406</f>
        <v>0</v>
      </c>
      <c r="I406" s="100">
        <f>J406-H406</f>
        <v>0</v>
      </c>
      <c r="J406" s="100">
        <f>F406*G406</f>
        <v>0</v>
      </c>
      <c r="K406" s="100">
        <v>0.00704</v>
      </c>
      <c r="L406" s="100">
        <f>F406*K406</f>
        <v>1.3009920000000001</v>
      </c>
      <c r="M406" s="101" t="s">
        <v>1667</v>
      </c>
      <c r="P406" s="14">
        <f>IF(AG406="5",J406,0)</f>
        <v>0</v>
      </c>
      <c r="R406" s="14">
        <f>IF(AG406="1",H406,0)</f>
        <v>0</v>
      </c>
      <c r="S406" s="14">
        <f>IF(AG406="1",I406,0)</f>
        <v>0</v>
      </c>
      <c r="T406" s="14">
        <f>IF(AG406="7",H406,0)</f>
        <v>0</v>
      </c>
      <c r="U406" s="14">
        <f>IF(AG406="7",I406,0)</f>
        <v>0</v>
      </c>
      <c r="V406" s="14">
        <f>IF(AG406="2",H406,0)</f>
        <v>0</v>
      </c>
      <c r="W406" s="14">
        <f>IF(AG406="2",I406,0)</f>
        <v>0</v>
      </c>
      <c r="X406" s="14">
        <f>IF(AG406="0",J406,0)</f>
        <v>0</v>
      </c>
      <c r="Y406" s="8" t="s">
        <v>406</v>
      </c>
      <c r="Z406" s="5">
        <f>IF(AD406=0,J406,0)</f>
        <v>0</v>
      </c>
      <c r="AA406" s="5">
        <f>IF(AD406=15,J406,0)</f>
        <v>0</v>
      </c>
      <c r="AB406" s="5">
        <f>IF(AD406=21,J406,0)</f>
        <v>0</v>
      </c>
      <c r="AD406" s="14">
        <v>15</v>
      </c>
      <c r="AE406" s="14">
        <f>G406*0.375327176650699</f>
        <v>0</v>
      </c>
      <c r="AF406" s="14">
        <f>G406*(1-0.375327176650699)</f>
        <v>0</v>
      </c>
      <c r="AG406" s="10" t="s">
        <v>13</v>
      </c>
      <c r="AM406" s="14">
        <f>F406*AE406</f>
        <v>0</v>
      </c>
      <c r="AN406" s="14">
        <f>F406*AF406</f>
        <v>0</v>
      </c>
      <c r="AO406" s="15" t="s">
        <v>1701</v>
      </c>
      <c r="AP406" s="15" t="s">
        <v>1735</v>
      </c>
      <c r="AQ406" s="8" t="s">
        <v>1769</v>
      </c>
      <c r="AS406" s="14">
        <f>AM406+AN406</f>
        <v>0</v>
      </c>
      <c r="AT406" s="14">
        <f>G406/(100-AU406)*100</f>
        <v>0</v>
      </c>
      <c r="AU406" s="14">
        <v>0</v>
      </c>
      <c r="AV406" s="14">
        <f>L406</f>
        <v>1.3009920000000001</v>
      </c>
    </row>
    <row r="407" spans="1:13" ht="12.75">
      <c r="A407" s="102"/>
      <c r="B407" s="102"/>
      <c r="C407" s="102"/>
      <c r="D407" s="103" t="s">
        <v>1120</v>
      </c>
      <c r="E407" s="102"/>
      <c r="F407" s="104">
        <v>184.8</v>
      </c>
      <c r="G407" s="102"/>
      <c r="H407" s="102"/>
      <c r="I407" s="102"/>
      <c r="J407" s="102"/>
      <c r="K407" s="102"/>
      <c r="L407" s="102"/>
      <c r="M407" s="102"/>
    </row>
    <row r="408" spans="1:48" ht="12.75">
      <c r="A408" s="99" t="s">
        <v>122</v>
      </c>
      <c r="B408" s="99" t="s">
        <v>406</v>
      </c>
      <c r="C408" s="99" t="s">
        <v>538</v>
      </c>
      <c r="D408" s="99" t="s">
        <v>1121</v>
      </c>
      <c r="E408" s="99" t="s">
        <v>1640</v>
      </c>
      <c r="F408" s="100">
        <v>114.72</v>
      </c>
      <c r="G408" s="100">
        <v>0</v>
      </c>
      <c r="H408" s="100">
        <f>F408*AE408</f>
        <v>0</v>
      </c>
      <c r="I408" s="100">
        <f>J408-H408</f>
        <v>0</v>
      </c>
      <c r="J408" s="100">
        <f>F408*G408</f>
        <v>0</v>
      </c>
      <c r="K408" s="100">
        <v>0.00145</v>
      </c>
      <c r="L408" s="100">
        <f>F408*K408</f>
        <v>0.166344</v>
      </c>
      <c r="M408" s="101" t="s">
        <v>1667</v>
      </c>
      <c r="P408" s="14">
        <f>IF(AG408="5",J408,0)</f>
        <v>0</v>
      </c>
      <c r="R408" s="14">
        <f>IF(AG408="1",H408,0)</f>
        <v>0</v>
      </c>
      <c r="S408" s="14">
        <f>IF(AG408="1",I408,0)</f>
        <v>0</v>
      </c>
      <c r="T408" s="14">
        <f>IF(AG408="7",H408,0)</f>
        <v>0</v>
      </c>
      <c r="U408" s="14">
        <f>IF(AG408="7",I408,0)</f>
        <v>0</v>
      </c>
      <c r="V408" s="14">
        <f>IF(AG408="2",H408,0)</f>
        <v>0</v>
      </c>
      <c r="W408" s="14">
        <f>IF(AG408="2",I408,0)</f>
        <v>0</v>
      </c>
      <c r="X408" s="14">
        <f>IF(AG408="0",J408,0)</f>
        <v>0</v>
      </c>
      <c r="Y408" s="8" t="s">
        <v>406</v>
      </c>
      <c r="Z408" s="5">
        <f>IF(AD408=0,J408,0)</f>
        <v>0</v>
      </c>
      <c r="AA408" s="5">
        <f>IF(AD408=15,J408,0)</f>
        <v>0</v>
      </c>
      <c r="AB408" s="5">
        <f>IF(AD408=21,J408,0)</f>
        <v>0</v>
      </c>
      <c r="AD408" s="14">
        <v>15</v>
      </c>
      <c r="AE408" s="14">
        <f>G408*0.455769230769231</f>
        <v>0</v>
      </c>
      <c r="AF408" s="14">
        <f>G408*(1-0.455769230769231)</f>
        <v>0</v>
      </c>
      <c r="AG408" s="10" t="s">
        <v>13</v>
      </c>
      <c r="AM408" s="14">
        <f>F408*AE408</f>
        <v>0</v>
      </c>
      <c r="AN408" s="14">
        <f>F408*AF408</f>
        <v>0</v>
      </c>
      <c r="AO408" s="15" t="s">
        <v>1701</v>
      </c>
      <c r="AP408" s="15" t="s">
        <v>1735</v>
      </c>
      <c r="AQ408" s="8" t="s">
        <v>1769</v>
      </c>
      <c r="AS408" s="14">
        <f>AM408+AN408</f>
        <v>0</v>
      </c>
      <c r="AT408" s="14">
        <f>G408/(100-AU408)*100</f>
        <v>0</v>
      </c>
      <c r="AU408" s="14">
        <v>0</v>
      </c>
      <c r="AV408" s="14">
        <f>L408</f>
        <v>0.166344</v>
      </c>
    </row>
    <row r="409" spans="1:13" ht="12.75">
      <c r="A409" s="102"/>
      <c r="B409" s="102"/>
      <c r="C409" s="102"/>
      <c r="D409" s="103" t="s">
        <v>1122</v>
      </c>
      <c r="E409" s="102"/>
      <c r="F409" s="104">
        <v>114.72</v>
      </c>
      <c r="G409" s="102"/>
      <c r="H409" s="102"/>
      <c r="I409" s="102"/>
      <c r="J409" s="102"/>
      <c r="K409" s="102"/>
      <c r="L409" s="102"/>
      <c r="M409" s="102"/>
    </row>
    <row r="410" spans="1:48" ht="12.75">
      <c r="A410" s="99" t="s">
        <v>123</v>
      </c>
      <c r="B410" s="99" t="s">
        <v>406</v>
      </c>
      <c r="C410" s="99" t="s">
        <v>539</v>
      </c>
      <c r="D410" s="99" t="s">
        <v>1123</v>
      </c>
      <c r="E410" s="99" t="s">
        <v>1640</v>
      </c>
      <c r="F410" s="100">
        <v>114.72</v>
      </c>
      <c r="G410" s="100">
        <v>0</v>
      </c>
      <c r="H410" s="100">
        <f>F410*AE410</f>
        <v>0</v>
      </c>
      <c r="I410" s="100">
        <f>J410-H410</f>
        <v>0</v>
      </c>
      <c r="J410" s="100">
        <f>F410*G410</f>
        <v>0</v>
      </c>
      <c r="K410" s="100">
        <v>0.00403</v>
      </c>
      <c r="L410" s="100">
        <f>F410*K410</f>
        <v>0.46232159999999994</v>
      </c>
      <c r="M410" s="101" t="s">
        <v>1667</v>
      </c>
      <c r="P410" s="14">
        <f>IF(AG410="5",J410,0)</f>
        <v>0</v>
      </c>
      <c r="R410" s="14">
        <f>IF(AG410="1",H410,0)</f>
        <v>0</v>
      </c>
      <c r="S410" s="14">
        <f>IF(AG410="1",I410,0)</f>
        <v>0</v>
      </c>
      <c r="T410" s="14">
        <f>IF(AG410="7",H410,0)</f>
        <v>0</v>
      </c>
      <c r="U410" s="14">
        <f>IF(AG410="7",I410,0)</f>
        <v>0</v>
      </c>
      <c r="V410" s="14">
        <f>IF(AG410="2",H410,0)</f>
        <v>0</v>
      </c>
      <c r="W410" s="14">
        <f>IF(AG410="2",I410,0)</f>
        <v>0</v>
      </c>
      <c r="X410" s="14">
        <f>IF(AG410="0",J410,0)</f>
        <v>0</v>
      </c>
      <c r="Y410" s="8" t="s">
        <v>406</v>
      </c>
      <c r="Z410" s="5">
        <f>IF(AD410=0,J410,0)</f>
        <v>0</v>
      </c>
      <c r="AA410" s="5">
        <f>IF(AD410=15,J410,0)</f>
        <v>0</v>
      </c>
      <c r="AB410" s="5">
        <f>IF(AD410=21,J410,0)</f>
        <v>0</v>
      </c>
      <c r="AD410" s="14">
        <v>15</v>
      </c>
      <c r="AE410" s="14">
        <f>G410*0.449019607843137</f>
        <v>0</v>
      </c>
      <c r="AF410" s="14">
        <f>G410*(1-0.449019607843137)</f>
        <v>0</v>
      </c>
      <c r="AG410" s="10" t="s">
        <v>13</v>
      </c>
      <c r="AM410" s="14">
        <f>F410*AE410</f>
        <v>0</v>
      </c>
      <c r="AN410" s="14">
        <f>F410*AF410</f>
        <v>0</v>
      </c>
      <c r="AO410" s="15" t="s">
        <v>1701</v>
      </c>
      <c r="AP410" s="15" t="s">
        <v>1735</v>
      </c>
      <c r="AQ410" s="8" t="s">
        <v>1769</v>
      </c>
      <c r="AS410" s="14">
        <f>AM410+AN410</f>
        <v>0</v>
      </c>
      <c r="AT410" s="14">
        <f>G410/(100-AU410)*100</f>
        <v>0</v>
      </c>
      <c r="AU410" s="14">
        <v>0</v>
      </c>
      <c r="AV410" s="14">
        <f>L410</f>
        <v>0.46232159999999994</v>
      </c>
    </row>
    <row r="411" spans="1:13" ht="12.75">
      <c r="A411" s="102"/>
      <c r="B411" s="102"/>
      <c r="C411" s="102"/>
      <c r="D411" s="103" t="s">
        <v>1124</v>
      </c>
      <c r="E411" s="102"/>
      <c r="F411" s="104">
        <v>114.72</v>
      </c>
      <c r="G411" s="102"/>
      <c r="H411" s="102"/>
      <c r="I411" s="102"/>
      <c r="J411" s="102"/>
      <c r="K411" s="102"/>
      <c r="L411" s="102"/>
      <c r="M411" s="102"/>
    </row>
    <row r="412" spans="1:48" ht="12.75">
      <c r="A412" s="99" t="s">
        <v>124</v>
      </c>
      <c r="B412" s="99" t="s">
        <v>406</v>
      </c>
      <c r="C412" s="99" t="s">
        <v>540</v>
      </c>
      <c r="D412" s="99" t="s">
        <v>1125</v>
      </c>
      <c r="E412" s="99" t="s">
        <v>1643</v>
      </c>
      <c r="F412" s="100">
        <v>11</v>
      </c>
      <c r="G412" s="100">
        <v>0</v>
      </c>
      <c r="H412" s="100">
        <f>F412*AE412</f>
        <v>0</v>
      </c>
      <c r="I412" s="100">
        <f>J412-H412</f>
        <v>0</v>
      </c>
      <c r="J412" s="100">
        <f>F412*G412</f>
        <v>0</v>
      </c>
      <c r="K412" s="100">
        <v>0</v>
      </c>
      <c r="L412" s="100">
        <f>F412*K412</f>
        <v>0</v>
      </c>
      <c r="M412" s="101" t="s">
        <v>1667</v>
      </c>
      <c r="P412" s="14">
        <f>IF(AG412="5",J412,0)</f>
        <v>0</v>
      </c>
      <c r="R412" s="14">
        <f>IF(AG412="1",H412,0)</f>
        <v>0</v>
      </c>
      <c r="S412" s="14">
        <f>IF(AG412="1",I412,0)</f>
        <v>0</v>
      </c>
      <c r="T412" s="14">
        <f>IF(AG412="7",H412,0)</f>
        <v>0</v>
      </c>
      <c r="U412" s="14">
        <f>IF(AG412="7",I412,0)</f>
        <v>0</v>
      </c>
      <c r="V412" s="14">
        <f>IF(AG412="2",H412,0)</f>
        <v>0</v>
      </c>
      <c r="W412" s="14">
        <f>IF(AG412="2",I412,0)</f>
        <v>0</v>
      </c>
      <c r="X412" s="14">
        <f>IF(AG412="0",J412,0)</f>
        <v>0</v>
      </c>
      <c r="Y412" s="8" t="s">
        <v>406</v>
      </c>
      <c r="Z412" s="5">
        <f>IF(AD412=0,J412,0)</f>
        <v>0</v>
      </c>
      <c r="AA412" s="5">
        <f>IF(AD412=15,J412,0)</f>
        <v>0</v>
      </c>
      <c r="AB412" s="5">
        <f>IF(AD412=21,J412,0)</f>
        <v>0</v>
      </c>
      <c r="AD412" s="14">
        <v>15</v>
      </c>
      <c r="AE412" s="14">
        <f>G412*0</f>
        <v>0</v>
      </c>
      <c r="AF412" s="14">
        <f>G412*(1-0)</f>
        <v>0</v>
      </c>
      <c r="AG412" s="10" t="s">
        <v>13</v>
      </c>
      <c r="AM412" s="14">
        <f>F412*AE412</f>
        <v>0</v>
      </c>
      <c r="AN412" s="14">
        <f>F412*AF412</f>
        <v>0</v>
      </c>
      <c r="AO412" s="15" t="s">
        <v>1701</v>
      </c>
      <c r="AP412" s="15" t="s">
        <v>1735</v>
      </c>
      <c r="AQ412" s="8" t="s">
        <v>1769</v>
      </c>
      <c r="AS412" s="14">
        <f>AM412+AN412</f>
        <v>0</v>
      </c>
      <c r="AT412" s="14">
        <f>G412/(100-AU412)*100</f>
        <v>0</v>
      </c>
      <c r="AU412" s="14">
        <v>0</v>
      </c>
      <c r="AV412" s="14">
        <f>L412</f>
        <v>0</v>
      </c>
    </row>
    <row r="413" spans="1:13" ht="12.75">
      <c r="A413" s="102"/>
      <c r="B413" s="102"/>
      <c r="C413" s="102"/>
      <c r="D413" s="103" t="s">
        <v>1126</v>
      </c>
      <c r="E413" s="102"/>
      <c r="F413" s="104">
        <v>11</v>
      </c>
      <c r="G413" s="102"/>
      <c r="H413" s="102"/>
      <c r="I413" s="102"/>
      <c r="J413" s="102"/>
      <c r="K413" s="102"/>
      <c r="L413" s="102"/>
      <c r="M413" s="102"/>
    </row>
    <row r="414" spans="1:48" ht="12.75">
      <c r="A414" s="99" t="s">
        <v>125</v>
      </c>
      <c r="B414" s="99" t="s">
        <v>406</v>
      </c>
      <c r="C414" s="99" t="s">
        <v>541</v>
      </c>
      <c r="D414" s="99" t="s">
        <v>1127</v>
      </c>
      <c r="E414" s="99" t="s">
        <v>1641</v>
      </c>
      <c r="F414" s="100">
        <v>22</v>
      </c>
      <c r="G414" s="100">
        <v>0</v>
      </c>
      <c r="H414" s="100">
        <f>F414*AE414</f>
        <v>0</v>
      </c>
      <c r="I414" s="100">
        <f>J414-H414</f>
        <v>0</v>
      </c>
      <c r="J414" s="100">
        <f>F414*G414</f>
        <v>0</v>
      </c>
      <c r="K414" s="100">
        <v>0</v>
      </c>
      <c r="L414" s="100">
        <f>F414*K414</f>
        <v>0</v>
      </c>
      <c r="M414" s="101" t="s">
        <v>1667</v>
      </c>
      <c r="P414" s="14">
        <f>IF(AG414="5",J414,0)</f>
        <v>0</v>
      </c>
      <c r="R414" s="14">
        <f>IF(AG414="1",H414,0)</f>
        <v>0</v>
      </c>
      <c r="S414" s="14">
        <f>IF(AG414="1",I414,0)</f>
        <v>0</v>
      </c>
      <c r="T414" s="14">
        <f>IF(AG414="7",H414,0)</f>
        <v>0</v>
      </c>
      <c r="U414" s="14">
        <f>IF(AG414="7",I414,0)</f>
        <v>0</v>
      </c>
      <c r="V414" s="14">
        <f>IF(AG414="2",H414,0)</f>
        <v>0</v>
      </c>
      <c r="W414" s="14">
        <f>IF(AG414="2",I414,0)</f>
        <v>0</v>
      </c>
      <c r="X414" s="14">
        <f>IF(AG414="0",J414,0)</f>
        <v>0</v>
      </c>
      <c r="Y414" s="8" t="s">
        <v>406</v>
      </c>
      <c r="Z414" s="5">
        <f>IF(AD414=0,J414,0)</f>
        <v>0</v>
      </c>
      <c r="AA414" s="5">
        <f>IF(AD414=15,J414,0)</f>
        <v>0</v>
      </c>
      <c r="AB414" s="5">
        <f>IF(AD414=21,J414,0)</f>
        <v>0</v>
      </c>
      <c r="AD414" s="14">
        <v>15</v>
      </c>
      <c r="AE414" s="14">
        <f>G414*0</f>
        <v>0</v>
      </c>
      <c r="AF414" s="14">
        <f>G414*(1-0)</f>
        <v>0</v>
      </c>
      <c r="AG414" s="10" t="s">
        <v>13</v>
      </c>
      <c r="AM414" s="14">
        <f>F414*AE414</f>
        <v>0</v>
      </c>
      <c r="AN414" s="14">
        <f>F414*AF414</f>
        <v>0</v>
      </c>
      <c r="AO414" s="15" t="s">
        <v>1701</v>
      </c>
      <c r="AP414" s="15" t="s">
        <v>1735</v>
      </c>
      <c r="AQ414" s="8" t="s">
        <v>1769</v>
      </c>
      <c r="AS414" s="14">
        <f>AM414+AN414</f>
        <v>0</v>
      </c>
      <c r="AT414" s="14">
        <f>G414/(100-AU414)*100</f>
        <v>0</v>
      </c>
      <c r="AU414" s="14">
        <v>0</v>
      </c>
      <c r="AV414" s="14">
        <f>L414</f>
        <v>0</v>
      </c>
    </row>
    <row r="415" spans="1:13" ht="12.75">
      <c r="A415" s="102"/>
      <c r="B415" s="102"/>
      <c r="C415" s="102"/>
      <c r="D415" s="103" t="s">
        <v>1128</v>
      </c>
      <c r="E415" s="102"/>
      <c r="F415" s="104">
        <v>22</v>
      </c>
      <c r="G415" s="102"/>
      <c r="H415" s="102"/>
      <c r="I415" s="102"/>
      <c r="J415" s="102"/>
      <c r="K415" s="102"/>
      <c r="L415" s="102"/>
      <c r="M415" s="102"/>
    </row>
    <row r="416" spans="1:48" ht="12.75">
      <c r="A416" s="99" t="s">
        <v>126</v>
      </c>
      <c r="B416" s="99" t="s">
        <v>406</v>
      </c>
      <c r="C416" s="99" t="s">
        <v>542</v>
      </c>
      <c r="D416" s="99" t="s">
        <v>1129</v>
      </c>
      <c r="E416" s="99" t="s">
        <v>1640</v>
      </c>
      <c r="F416" s="100">
        <v>11.01</v>
      </c>
      <c r="G416" s="100">
        <v>0</v>
      </c>
      <c r="H416" s="100">
        <f>F416*AE416</f>
        <v>0</v>
      </c>
      <c r="I416" s="100">
        <f>J416-H416</f>
        <v>0</v>
      </c>
      <c r="J416" s="100">
        <f>F416*G416</f>
        <v>0</v>
      </c>
      <c r="K416" s="100">
        <v>0.01029</v>
      </c>
      <c r="L416" s="100">
        <f>F416*K416</f>
        <v>0.1132929</v>
      </c>
      <c r="M416" s="101" t="s">
        <v>1667</v>
      </c>
      <c r="P416" s="14">
        <f>IF(AG416="5",J416,0)</f>
        <v>0</v>
      </c>
      <c r="R416" s="14">
        <f>IF(AG416="1",H416,0)</f>
        <v>0</v>
      </c>
      <c r="S416" s="14">
        <f>IF(AG416="1",I416,0)</f>
        <v>0</v>
      </c>
      <c r="T416" s="14">
        <f>IF(AG416="7",H416,0)</f>
        <v>0</v>
      </c>
      <c r="U416" s="14">
        <f>IF(AG416="7",I416,0)</f>
        <v>0</v>
      </c>
      <c r="V416" s="14">
        <f>IF(AG416="2",H416,0)</f>
        <v>0</v>
      </c>
      <c r="W416" s="14">
        <f>IF(AG416="2",I416,0)</f>
        <v>0</v>
      </c>
      <c r="X416" s="14">
        <f>IF(AG416="0",J416,0)</f>
        <v>0</v>
      </c>
      <c r="Y416" s="8" t="s">
        <v>406</v>
      </c>
      <c r="Z416" s="5">
        <f>IF(AD416=0,J416,0)</f>
        <v>0</v>
      </c>
      <c r="AA416" s="5">
        <f>IF(AD416=15,J416,0)</f>
        <v>0</v>
      </c>
      <c r="AB416" s="5">
        <f>IF(AD416=21,J416,0)</f>
        <v>0</v>
      </c>
      <c r="AD416" s="14">
        <v>15</v>
      </c>
      <c r="AE416" s="14">
        <f>G416*0.430715746421268</f>
        <v>0</v>
      </c>
      <c r="AF416" s="14">
        <f>G416*(1-0.430715746421268)</f>
        <v>0</v>
      </c>
      <c r="AG416" s="10" t="s">
        <v>13</v>
      </c>
      <c r="AM416" s="14">
        <f>F416*AE416</f>
        <v>0</v>
      </c>
      <c r="AN416" s="14">
        <f>F416*AF416</f>
        <v>0</v>
      </c>
      <c r="AO416" s="15" t="s">
        <v>1701</v>
      </c>
      <c r="AP416" s="15" t="s">
        <v>1735</v>
      </c>
      <c r="AQ416" s="8" t="s">
        <v>1769</v>
      </c>
      <c r="AS416" s="14">
        <f>AM416+AN416</f>
        <v>0</v>
      </c>
      <c r="AT416" s="14">
        <f>G416/(100-AU416)*100</f>
        <v>0</v>
      </c>
      <c r="AU416" s="14">
        <v>0</v>
      </c>
      <c r="AV416" s="14">
        <f>L416</f>
        <v>0.1132929</v>
      </c>
    </row>
    <row r="417" spans="1:13" ht="12.75">
      <c r="A417" s="102"/>
      <c r="B417" s="102"/>
      <c r="C417" s="102"/>
      <c r="D417" s="103" t="s">
        <v>1130</v>
      </c>
      <c r="E417" s="102"/>
      <c r="F417" s="104">
        <v>11.01</v>
      </c>
      <c r="G417" s="102"/>
      <c r="H417" s="102"/>
      <c r="I417" s="102"/>
      <c r="J417" s="102"/>
      <c r="K417" s="102"/>
      <c r="L417" s="102"/>
      <c r="M417" s="102"/>
    </row>
    <row r="418" spans="1:48" ht="12.75">
      <c r="A418" s="99" t="s">
        <v>127</v>
      </c>
      <c r="B418" s="99" t="s">
        <v>406</v>
      </c>
      <c r="C418" s="99" t="s">
        <v>543</v>
      </c>
      <c r="D418" s="99" t="s">
        <v>1119</v>
      </c>
      <c r="E418" s="99" t="s">
        <v>1643</v>
      </c>
      <c r="F418" s="100">
        <v>20</v>
      </c>
      <c r="G418" s="100">
        <v>0</v>
      </c>
      <c r="H418" s="100">
        <f>F418*AE418</f>
        <v>0</v>
      </c>
      <c r="I418" s="100">
        <f>J418-H418</f>
        <v>0</v>
      </c>
      <c r="J418" s="100">
        <f>F418*G418</f>
        <v>0</v>
      </c>
      <c r="K418" s="100">
        <v>0.00825</v>
      </c>
      <c r="L418" s="100">
        <f>F418*K418</f>
        <v>0.165</v>
      </c>
      <c r="M418" s="101" t="s">
        <v>1667</v>
      </c>
      <c r="P418" s="14">
        <f>IF(AG418="5",J418,0)</f>
        <v>0</v>
      </c>
      <c r="R418" s="14">
        <f>IF(AG418="1",H418,0)</f>
        <v>0</v>
      </c>
      <c r="S418" s="14">
        <f>IF(AG418="1",I418,0)</f>
        <v>0</v>
      </c>
      <c r="T418" s="14">
        <f>IF(AG418="7",H418,0)</f>
        <v>0</v>
      </c>
      <c r="U418" s="14">
        <f>IF(AG418="7",I418,0)</f>
        <v>0</v>
      </c>
      <c r="V418" s="14">
        <f>IF(AG418="2",H418,0)</f>
        <v>0</v>
      </c>
      <c r="W418" s="14">
        <f>IF(AG418="2",I418,0)</f>
        <v>0</v>
      </c>
      <c r="X418" s="14">
        <f>IF(AG418="0",J418,0)</f>
        <v>0</v>
      </c>
      <c r="Y418" s="8" t="s">
        <v>406</v>
      </c>
      <c r="Z418" s="5">
        <f>IF(AD418=0,J418,0)</f>
        <v>0</v>
      </c>
      <c r="AA418" s="5">
        <f>IF(AD418=15,J418,0)</f>
        <v>0</v>
      </c>
      <c r="AB418" s="5">
        <f>IF(AD418=21,J418,0)</f>
        <v>0</v>
      </c>
      <c r="AD418" s="14">
        <v>15</v>
      </c>
      <c r="AE418" s="14">
        <f>G418*0.426323189260284</f>
        <v>0</v>
      </c>
      <c r="AF418" s="14">
        <f>G418*(1-0.426323189260284)</f>
        <v>0</v>
      </c>
      <c r="AG418" s="10" t="s">
        <v>13</v>
      </c>
      <c r="AM418" s="14">
        <f>F418*AE418</f>
        <v>0</v>
      </c>
      <c r="AN418" s="14">
        <f>F418*AF418</f>
        <v>0</v>
      </c>
      <c r="AO418" s="15" t="s">
        <v>1701</v>
      </c>
      <c r="AP418" s="15" t="s">
        <v>1735</v>
      </c>
      <c r="AQ418" s="8" t="s">
        <v>1769</v>
      </c>
      <c r="AS418" s="14">
        <f>AM418+AN418</f>
        <v>0</v>
      </c>
      <c r="AT418" s="14">
        <f>G418/(100-AU418)*100</f>
        <v>0</v>
      </c>
      <c r="AU418" s="14">
        <v>0</v>
      </c>
      <c r="AV418" s="14">
        <f>L418</f>
        <v>0.165</v>
      </c>
    </row>
    <row r="419" spans="1:13" ht="12.75">
      <c r="A419" s="102"/>
      <c r="B419" s="102"/>
      <c r="C419" s="102"/>
      <c r="D419" s="103" t="s">
        <v>1131</v>
      </c>
      <c r="E419" s="102"/>
      <c r="F419" s="104">
        <v>20</v>
      </c>
      <c r="G419" s="102"/>
      <c r="H419" s="102"/>
      <c r="I419" s="102"/>
      <c r="J419" s="102"/>
      <c r="K419" s="102"/>
      <c r="L419" s="102"/>
      <c r="M419" s="102"/>
    </row>
    <row r="420" spans="1:48" ht="12.75">
      <c r="A420" s="99" t="s">
        <v>128</v>
      </c>
      <c r="B420" s="99" t="s">
        <v>406</v>
      </c>
      <c r="C420" s="99" t="s">
        <v>544</v>
      </c>
      <c r="D420" s="99" t="s">
        <v>1132</v>
      </c>
      <c r="E420" s="99" t="s">
        <v>1639</v>
      </c>
      <c r="F420" s="100">
        <v>5.71</v>
      </c>
      <c r="G420" s="100">
        <v>0</v>
      </c>
      <c r="H420" s="100">
        <f>F420*AE420</f>
        <v>0</v>
      </c>
      <c r="I420" s="100">
        <f>J420-H420</f>
        <v>0</v>
      </c>
      <c r="J420" s="100">
        <f>F420*G420</f>
        <v>0</v>
      </c>
      <c r="K420" s="100">
        <v>0.02357</v>
      </c>
      <c r="L420" s="100">
        <f>F420*K420</f>
        <v>0.1345847</v>
      </c>
      <c r="M420" s="101" t="s">
        <v>1667</v>
      </c>
      <c r="P420" s="14">
        <f>IF(AG420="5",J420,0)</f>
        <v>0</v>
      </c>
      <c r="R420" s="14">
        <f>IF(AG420="1",H420,0)</f>
        <v>0</v>
      </c>
      <c r="S420" s="14">
        <f>IF(AG420="1",I420,0)</f>
        <v>0</v>
      </c>
      <c r="T420" s="14">
        <f>IF(AG420="7",H420,0)</f>
        <v>0</v>
      </c>
      <c r="U420" s="14">
        <f>IF(AG420="7",I420,0)</f>
        <v>0</v>
      </c>
      <c r="V420" s="14">
        <f>IF(AG420="2",H420,0)</f>
        <v>0</v>
      </c>
      <c r="W420" s="14">
        <f>IF(AG420="2",I420,0)</f>
        <v>0</v>
      </c>
      <c r="X420" s="14">
        <f>IF(AG420="0",J420,0)</f>
        <v>0</v>
      </c>
      <c r="Y420" s="8" t="s">
        <v>406</v>
      </c>
      <c r="Z420" s="5">
        <f>IF(AD420=0,J420,0)</f>
        <v>0</v>
      </c>
      <c r="AA420" s="5">
        <f>IF(AD420=15,J420,0)</f>
        <v>0</v>
      </c>
      <c r="AB420" s="5">
        <f>IF(AD420=21,J420,0)</f>
        <v>0</v>
      </c>
      <c r="AD420" s="14">
        <v>15</v>
      </c>
      <c r="AE420" s="14">
        <f>G420*1</f>
        <v>0</v>
      </c>
      <c r="AF420" s="14">
        <f>G420*(1-1)</f>
        <v>0</v>
      </c>
      <c r="AG420" s="10" t="s">
        <v>13</v>
      </c>
      <c r="AM420" s="14">
        <f>F420*AE420</f>
        <v>0</v>
      </c>
      <c r="AN420" s="14">
        <f>F420*AF420</f>
        <v>0</v>
      </c>
      <c r="AO420" s="15" t="s">
        <v>1701</v>
      </c>
      <c r="AP420" s="15" t="s">
        <v>1735</v>
      </c>
      <c r="AQ420" s="8" t="s">
        <v>1769</v>
      </c>
      <c r="AS420" s="14">
        <f>AM420+AN420</f>
        <v>0</v>
      </c>
      <c r="AT420" s="14">
        <f>G420/(100-AU420)*100</f>
        <v>0</v>
      </c>
      <c r="AU420" s="14">
        <v>0</v>
      </c>
      <c r="AV420" s="14">
        <f>L420</f>
        <v>0.1345847</v>
      </c>
    </row>
    <row r="421" spans="1:13" ht="12.75">
      <c r="A421" s="102"/>
      <c r="B421" s="102"/>
      <c r="C421" s="102"/>
      <c r="D421" s="103" t="s">
        <v>1133</v>
      </c>
      <c r="E421" s="102"/>
      <c r="F421" s="104">
        <v>0.37</v>
      </c>
      <c r="G421" s="102"/>
      <c r="H421" s="102"/>
      <c r="I421" s="102"/>
      <c r="J421" s="102"/>
      <c r="K421" s="102"/>
      <c r="L421" s="102"/>
      <c r="M421" s="102"/>
    </row>
    <row r="422" spans="1:13" ht="12.75">
      <c r="A422" s="102"/>
      <c r="B422" s="102"/>
      <c r="C422" s="102"/>
      <c r="D422" s="103" t="s">
        <v>1134</v>
      </c>
      <c r="E422" s="102"/>
      <c r="F422" s="104">
        <v>0.16</v>
      </c>
      <c r="G422" s="102"/>
      <c r="H422" s="102"/>
      <c r="I422" s="102"/>
      <c r="J422" s="102"/>
      <c r="K422" s="102"/>
      <c r="L422" s="102"/>
      <c r="M422" s="102"/>
    </row>
    <row r="423" spans="1:13" ht="12.75">
      <c r="A423" s="102"/>
      <c r="B423" s="102"/>
      <c r="C423" s="102"/>
      <c r="D423" s="103" t="s">
        <v>1135</v>
      </c>
      <c r="E423" s="102"/>
      <c r="F423" s="104">
        <v>0.34</v>
      </c>
      <c r="G423" s="102"/>
      <c r="H423" s="102"/>
      <c r="I423" s="102"/>
      <c r="J423" s="102"/>
      <c r="K423" s="102"/>
      <c r="L423" s="102"/>
      <c r="M423" s="102"/>
    </row>
    <row r="424" spans="1:13" ht="12.75">
      <c r="A424" s="102"/>
      <c r="B424" s="102"/>
      <c r="C424" s="102"/>
      <c r="D424" s="103" t="s">
        <v>1136</v>
      </c>
      <c r="E424" s="102"/>
      <c r="F424" s="104">
        <v>2.75</v>
      </c>
      <c r="G424" s="102"/>
      <c r="H424" s="102"/>
      <c r="I424" s="102"/>
      <c r="J424" s="102"/>
      <c r="K424" s="102"/>
      <c r="L424" s="102"/>
      <c r="M424" s="102"/>
    </row>
    <row r="425" spans="1:13" ht="12.75">
      <c r="A425" s="102"/>
      <c r="B425" s="102"/>
      <c r="C425" s="102"/>
      <c r="D425" s="103" t="s">
        <v>1137</v>
      </c>
      <c r="E425" s="102"/>
      <c r="F425" s="104">
        <v>1.85</v>
      </c>
      <c r="G425" s="102"/>
      <c r="H425" s="102"/>
      <c r="I425" s="102"/>
      <c r="J425" s="102"/>
      <c r="K425" s="102"/>
      <c r="L425" s="102"/>
      <c r="M425" s="102"/>
    </row>
    <row r="426" spans="1:13" ht="12.75">
      <c r="A426" s="102"/>
      <c r="B426" s="102"/>
      <c r="C426" s="102"/>
      <c r="D426" s="103" t="s">
        <v>1138</v>
      </c>
      <c r="E426" s="102"/>
      <c r="F426" s="104">
        <v>0.24</v>
      </c>
      <c r="G426" s="102"/>
      <c r="H426" s="102"/>
      <c r="I426" s="102"/>
      <c r="J426" s="102"/>
      <c r="K426" s="102"/>
      <c r="L426" s="102"/>
      <c r="M426" s="102"/>
    </row>
    <row r="427" spans="1:48" ht="12.75">
      <c r="A427" s="99" t="s">
        <v>129</v>
      </c>
      <c r="B427" s="99" t="s">
        <v>406</v>
      </c>
      <c r="C427" s="99" t="s">
        <v>543</v>
      </c>
      <c r="D427" s="99" t="s">
        <v>1119</v>
      </c>
      <c r="E427" s="99" t="s">
        <v>1643</v>
      </c>
      <c r="F427" s="100">
        <v>7.44</v>
      </c>
      <c r="G427" s="100">
        <v>0</v>
      </c>
      <c r="H427" s="100">
        <f>F427*AE427</f>
        <v>0</v>
      </c>
      <c r="I427" s="100">
        <f>J427-H427</f>
        <v>0</v>
      </c>
      <c r="J427" s="100">
        <f>F427*G427</f>
        <v>0</v>
      </c>
      <c r="K427" s="100">
        <v>0.00825</v>
      </c>
      <c r="L427" s="100">
        <f>F427*K427</f>
        <v>0.061380000000000004</v>
      </c>
      <c r="M427" s="101" t="s">
        <v>1667</v>
      </c>
      <c r="P427" s="14">
        <f>IF(AG427="5",J427,0)</f>
        <v>0</v>
      </c>
      <c r="R427" s="14">
        <f>IF(AG427="1",H427,0)</f>
        <v>0</v>
      </c>
      <c r="S427" s="14">
        <f>IF(AG427="1",I427,0)</f>
        <v>0</v>
      </c>
      <c r="T427" s="14">
        <f>IF(AG427="7",H427,0)</f>
        <v>0</v>
      </c>
      <c r="U427" s="14">
        <f>IF(AG427="7",I427,0)</f>
        <v>0</v>
      </c>
      <c r="V427" s="14">
        <f>IF(AG427="2",H427,0)</f>
        <v>0</v>
      </c>
      <c r="W427" s="14">
        <f>IF(AG427="2",I427,0)</f>
        <v>0</v>
      </c>
      <c r="X427" s="14">
        <f>IF(AG427="0",J427,0)</f>
        <v>0</v>
      </c>
      <c r="Y427" s="8" t="s">
        <v>406</v>
      </c>
      <c r="Z427" s="5">
        <f>IF(AD427=0,J427,0)</f>
        <v>0</v>
      </c>
      <c r="AA427" s="5">
        <f>IF(AD427=15,J427,0)</f>
        <v>0</v>
      </c>
      <c r="AB427" s="5">
        <f>IF(AD427=21,J427,0)</f>
        <v>0</v>
      </c>
      <c r="AD427" s="14">
        <v>15</v>
      </c>
      <c r="AE427" s="14">
        <f>G427*0.426371801645407</f>
        <v>0</v>
      </c>
      <c r="AF427" s="14">
        <f>G427*(1-0.426371801645407)</f>
        <v>0</v>
      </c>
      <c r="AG427" s="10" t="s">
        <v>13</v>
      </c>
      <c r="AM427" s="14">
        <f>F427*AE427</f>
        <v>0</v>
      </c>
      <c r="AN427" s="14">
        <f>F427*AF427</f>
        <v>0</v>
      </c>
      <c r="AO427" s="15" t="s">
        <v>1701</v>
      </c>
      <c r="AP427" s="15" t="s">
        <v>1735</v>
      </c>
      <c r="AQ427" s="8" t="s">
        <v>1769</v>
      </c>
      <c r="AS427" s="14">
        <f>AM427+AN427</f>
        <v>0</v>
      </c>
      <c r="AT427" s="14">
        <f>G427/(100-AU427)*100</f>
        <v>0</v>
      </c>
      <c r="AU427" s="14">
        <v>0</v>
      </c>
      <c r="AV427" s="14">
        <f>L427</f>
        <v>0.061380000000000004</v>
      </c>
    </row>
    <row r="428" spans="1:13" ht="12.75">
      <c r="A428" s="102"/>
      <c r="B428" s="102"/>
      <c r="C428" s="102"/>
      <c r="D428" s="103" t="s">
        <v>1139</v>
      </c>
      <c r="E428" s="102"/>
      <c r="F428" s="104">
        <v>7.44</v>
      </c>
      <c r="G428" s="102"/>
      <c r="H428" s="102"/>
      <c r="I428" s="102"/>
      <c r="J428" s="102"/>
      <c r="K428" s="102"/>
      <c r="L428" s="102"/>
      <c r="M428" s="102"/>
    </row>
    <row r="429" spans="1:48" ht="12.75">
      <c r="A429" s="99" t="s">
        <v>130</v>
      </c>
      <c r="B429" s="99" t="s">
        <v>406</v>
      </c>
      <c r="C429" s="99" t="s">
        <v>536</v>
      </c>
      <c r="D429" s="99" t="s">
        <v>1117</v>
      </c>
      <c r="E429" s="99" t="s">
        <v>1643</v>
      </c>
      <c r="F429" s="100">
        <v>7.5</v>
      </c>
      <c r="G429" s="100">
        <v>0</v>
      </c>
      <c r="H429" s="100">
        <f>F429*AE429</f>
        <v>0</v>
      </c>
      <c r="I429" s="100">
        <f>J429-H429</f>
        <v>0</v>
      </c>
      <c r="J429" s="100">
        <f>F429*G429</f>
        <v>0</v>
      </c>
      <c r="K429" s="100">
        <v>0.01793</v>
      </c>
      <c r="L429" s="100">
        <f>F429*K429</f>
        <v>0.134475</v>
      </c>
      <c r="M429" s="101" t="s">
        <v>1667</v>
      </c>
      <c r="P429" s="14">
        <f>IF(AG429="5",J429,0)</f>
        <v>0</v>
      </c>
      <c r="R429" s="14">
        <f>IF(AG429="1",H429,0)</f>
        <v>0</v>
      </c>
      <c r="S429" s="14">
        <f>IF(AG429="1",I429,0)</f>
        <v>0</v>
      </c>
      <c r="T429" s="14">
        <f>IF(AG429="7",H429,0)</f>
        <v>0</v>
      </c>
      <c r="U429" s="14">
        <f>IF(AG429="7",I429,0)</f>
        <v>0</v>
      </c>
      <c r="V429" s="14">
        <f>IF(AG429="2",H429,0)</f>
        <v>0</v>
      </c>
      <c r="W429" s="14">
        <f>IF(AG429="2",I429,0)</f>
        <v>0</v>
      </c>
      <c r="X429" s="14">
        <f>IF(AG429="0",J429,0)</f>
        <v>0</v>
      </c>
      <c r="Y429" s="8" t="s">
        <v>406</v>
      </c>
      <c r="Z429" s="5">
        <f>IF(AD429=0,J429,0)</f>
        <v>0</v>
      </c>
      <c r="AA429" s="5">
        <f>IF(AD429=15,J429,0)</f>
        <v>0</v>
      </c>
      <c r="AB429" s="5">
        <f>IF(AD429=21,J429,0)</f>
        <v>0</v>
      </c>
      <c r="AD429" s="14">
        <v>15</v>
      </c>
      <c r="AE429" s="14">
        <f>G429*0.515608695652174</f>
        <v>0</v>
      </c>
      <c r="AF429" s="14">
        <f>G429*(1-0.515608695652174)</f>
        <v>0</v>
      </c>
      <c r="AG429" s="10" t="s">
        <v>13</v>
      </c>
      <c r="AM429" s="14">
        <f>F429*AE429</f>
        <v>0</v>
      </c>
      <c r="AN429" s="14">
        <f>F429*AF429</f>
        <v>0</v>
      </c>
      <c r="AO429" s="15" t="s">
        <v>1701</v>
      </c>
      <c r="AP429" s="15" t="s">
        <v>1735</v>
      </c>
      <c r="AQ429" s="8" t="s">
        <v>1769</v>
      </c>
      <c r="AS429" s="14">
        <f>AM429+AN429</f>
        <v>0</v>
      </c>
      <c r="AT429" s="14">
        <f>G429/(100-AU429)*100</f>
        <v>0</v>
      </c>
      <c r="AU429" s="14">
        <v>0</v>
      </c>
      <c r="AV429" s="14">
        <f>L429</f>
        <v>0.134475</v>
      </c>
    </row>
    <row r="430" spans="1:13" ht="12.75">
      <c r="A430" s="102"/>
      <c r="B430" s="102"/>
      <c r="C430" s="102"/>
      <c r="D430" s="103" t="s">
        <v>1140</v>
      </c>
      <c r="E430" s="102"/>
      <c r="F430" s="104">
        <v>7.5</v>
      </c>
      <c r="G430" s="102"/>
      <c r="H430" s="102"/>
      <c r="I430" s="102"/>
      <c r="J430" s="102"/>
      <c r="K430" s="102"/>
      <c r="L430" s="102"/>
      <c r="M430" s="102"/>
    </row>
    <row r="431" spans="1:48" ht="12.75">
      <c r="A431" s="99" t="s">
        <v>131</v>
      </c>
      <c r="B431" s="99" t="s">
        <v>406</v>
      </c>
      <c r="C431" s="99" t="s">
        <v>534</v>
      </c>
      <c r="D431" s="99" t="s">
        <v>1112</v>
      </c>
      <c r="E431" s="99" t="s">
        <v>1643</v>
      </c>
      <c r="F431" s="100">
        <v>11.76</v>
      </c>
      <c r="G431" s="100">
        <v>0</v>
      </c>
      <c r="H431" s="100">
        <f>F431*AE431</f>
        <v>0</v>
      </c>
      <c r="I431" s="100">
        <f>J431-H431</f>
        <v>0</v>
      </c>
      <c r="J431" s="100">
        <f>F431*G431</f>
        <v>0</v>
      </c>
      <c r="K431" s="100">
        <v>0.00099</v>
      </c>
      <c r="L431" s="100">
        <f>F431*K431</f>
        <v>0.011642399999999999</v>
      </c>
      <c r="M431" s="101" t="s">
        <v>1667</v>
      </c>
      <c r="P431" s="14">
        <f>IF(AG431="5",J431,0)</f>
        <v>0</v>
      </c>
      <c r="R431" s="14">
        <f>IF(AG431="1",H431,0)</f>
        <v>0</v>
      </c>
      <c r="S431" s="14">
        <f>IF(AG431="1",I431,0)</f>
        <v>0</v>
      </c>
      <c r="T431" s="14">
        <f>IF(AG431="7",H431,0)</f>
        <v>0</v>
      </c>
      <c r="U431" s="14">
        <f>IF(AG431="7",I431,0)</f>
        <v>0</v>
      </c>
      <c r="V431" s="14">
        <f>IF(AG431="2",H431,0)</f>
        <v>0</v>
      </c>
      <c r="W431" s="14">
        <f>IF(AG431="2",I431,0)</f>
        <v>0</v>
      </c>
      <c r="X431" s="14">
        <f>IF(AG431="0",J431,0)</f>
        <v>0</v>
      </c>
      <c r="Y431" s="8" t="s">
        <v>406</v>
      </c>
      <c r="Z431" s="5">
        <f>IF(AD431=0,J431,0)</f>
        <v>0</v>
      </c>
      <c r="AA431" s="5">
        <f>IF(AD431=15,J431,0)</f>
        <v>0</v>
      </c>
      <c r="AB431" s="5">
        <f>IF(AD431=21,J431,0)</f>
        <v>0</v>
      </c>
      <c r="AD431" s="14">
        <v>15</v>
      </c>
      <c r="AE431" s="14">
        <f>G431*0.0339150095657719</f>
        <v>0</v>
      </c>
      <c r="AF431" s="14">
        <f>G431*(1-0.0339150095657719)</f>
        <v>0</v>
      </c>
      <c r="AG431" s="10" t="s">
        <v>13</v>
      </c>
      <c r="AM431" s="14">
        <f>F431*AE431</f>
        <v>0</v>
      </c>
      <c r="AN431" s="14">
        <f>F431*AF431</f>
        <v>0</v>
      </c>
      <c r="AO431" s="15" t="s">
        <v>1701</v>
      </c>
      <c r="AP431" s="15" t="s">
        <v>1735</v>
      </c>
      <c r="AQ431" s="8" t="s">
        <v>1769</v>
      </c>
      <c r="AS431" s="14">
        <f>AM431+AN431</f>
        <v>0</v>
      </c>
      <c r="AT431" s="14">
        <f>G431/(100-AU431)*100</f>
        <v>0</v>
      </c>
      <c r="AU431" s="14">
        <v>0</v>
      </c>
      <c r="AV431" s="14">
        <f>L431</f>
        <v>0.011642399999999999</v>
      </c>
    </row>
    <row r="432" spans="1:13" ht="12.75">
      <c r="A432" s="102"/>
      <c r="B432" s="102"/>
      <c r="C432" s="102"/>
      <c r="D432" s="103" t="s">
        <v>1141</v>
      </c>
      <c r="E432" s="102"/>
      <c r="F432" s="104">
        <v>11.76</v>
      </c>
      <c r="G432" s="102"/>
      <c r="H432" s="102"/>
      <c r="I432" s="102"/>
      <c r="J432" s="102"/>
      <c r="K432" s="102"/>
      <c r="L432" s="102"/>
      <c r="M432" s="102"/>
    </row>
    <row r="433" spans="1:48" ht="12.75">
      <c r="A433" s="99" t="s">
        <v>132</v>
      </c>
      <c r="B433" s="99" t="s">
        <v>406</v>
      </c>
      <c r="C433" s="99" t="s">
        <v>545</v>
      </c>
      <c r="D433" s="99" t="s">
        <v>1119</v>
      </c>
      <c r="E433" s="99" t="s">
        <v>1643</v>
      </c>
      <c r="F433" s="100">
        <v>2.65</v>
      </c>
      <c r="G433" s="100">
        <v>0</v>
      </c>
      <c r="H433" s="100">
        <f>F433*AE433</f>
        <v>0</v>
      </c>
      <c r="I433" s="100">
        <f>J433-H433</f>
        <v>0</v>
      </c>
      <c r="J433" s="100">
        <f>F433*G433</f>
        <v>0</v>
      </c>
      <c r="K433" s="100">
        <v>0.00759</v>
      </c>
      <c r="L433" s="100">
        <f>F433*K433</f>
        <v>0.0201135</v>
      </c>
      <c r="M433" s="101" t="s">
        <v>1667</v>
      </c>
      <c r="P433" s="14">
        <f>IF(AG433="5",J433,0)</f>
        <v>0</v>
      </c>
      <c r="R433" s="14">
        <f>IF(AG433="1",H433,0)</f>
        <v>0</v>
      </c>
      <c r="S433" s="14">
        <f>IF(AG433="1",I433,0)</f>
        <v>0</v>
      </c>
      <c r="T433" s="14">
        <f>IF(AG433="7",H433,0)</f>
        <v>0</v>
      </c>
      <c r="U433" s="14">
        <f>IF(AG433="7",I433,0)</f>
        <v>0</v>
      </c>
      <c r="V433" s="14">
        <f>IF(AG433="2",H433,0)</f>
        <v>0</v>
      </c>
      <c r="W433" s="14">
        <f>IF(AG433="2",I433,0)</f>
        <v>0</v>
      </c>
      <c r="X433" s="14">
        <f>IF(AG433="0",J433,0)</f>
        <v>0</v>
      </c>
      <c r="Y433" s="8" t="s">
        <v>406</v>
      </c>
      <c r="Z433" s="5">
        <f>IF(AD433=0,J433,0)</f>
        <v>0</v>
      </c>
      <c r="AA433" s="5">
        <f>IF(AD433=15,J433,0)</f>
        <v>0</v>
      </c>
      <c r="AB433" s="5">
        <f>IF(AD433=21,J433,0)</f>
        <v>0</v>
      </c>
      <c r="AD433" s="14">
        <v>15</v>
      </c>
      <c r="AE433" s="14">
        <f>G433*0.561551815231338</f>
        <v>0</v>
      </c>
      <c r="AF433" s="14">
        <f>G433*(1-0.561551815231338)</f>
        <v>0</v>
      </c>
      <c r="AG433" s="10" t="s">
        <v>13</v>
      </c>
      <c r="AM433" s="14">
        <f>F433*AE433</f>
        <v>0</v>
      </c>
      <c r="AN433" s="14">
        <f>F433*AF433</f>
        <v>0</v>
      </c>
      <c r="AO433" s="15" t="s">
        <v>1701</v>
      </c>
      <c r="AP433" s="15" t="s">
        <v>1735</v>
      </c>
      <c r="AQ433" s="8" t="s">
        <v>1769</v>
      </c>
      <c r="AS433" s="14">
        <f>AM433+AN433</f>
        <v>0</v>
      </c>
      <c r="AT433" s="14">
        <f>G433/(100-AU433)*100</f>
        <v>0</v>
      </c>
      <c r="AU433" s="14">
        <v>0</v>
      </c>
      <c r="AV433" s="14">
        <f>L433</f>
        <v>0.0201135</v>
      </c>
    </row>
    <row r="434" spans="1:13" ht="12.75">
      <c r="A434" s="102"/>
      <c r="B434" s="102"/>
      <c r="C434" s="102"/>
      <c r="D434" s="103" t="s">
        <v>1142</v>
      </c>
      <c r="E434" s="102"/>
      <c r="F434" s="104">
        <v>2.65</v>
      </c>
      <c r="G434" s="102"/>
      <c r="H434" s="102"/>
      <c r="I434" s="102"/>
      <c r="J434" s="102"/>
      <c r="K434" s="102"/>
      <c r="L434" s="102"/>
      <c r="M434" s="102"/>
    </row>
    <row r="435" spans="1:48" ht="12.75">
      <c r="A435" s="99" t="s">
        <v>133</v>
      </c>
      <c r="B435" s="99" t="s">
        <v>406</v>
      </c>
      <c r="C435" s="99" t="s">
        <v>546</v>
      </c>
      <c r="D435" s="99" t="s">
        <v>1119</v>
      </c>
      <c r="E435" s="99" t="s">
        <v>1643</v>
      </c>
      <c r="F435" s="100">
        <v>7.5</v>
      </c>
      <c r="G435" s="100">
        <v>0</v>
      </c>
      <c r="H435" s="100">
        <f>F435*AE435</f>
        <v>0</v>
      </c>
      <c r="I435" s="100">
        <f>J435-H435</f>
        <v>0</v>
      </c>
      <c r="J435" s="100">
        <f>F435*G435</f>
        <v>0</v>
      </c>
      <c r="K435" s="100">
        <v>0.00099</v>
      </c>
      <c r="L435" s="100">
        <f>F435*K435</f>
        <v>0.007425</v>
      </c>
      <c r="M435" s="101" t="s">
        <v>1667</v>
      </c>
      <c r="P435" s="14">
        <f>IF(AG435="5",J435,0)</f>
        <v>0</v>
      </c>
      <c r="R435" s="14">
        <f>IF(AG435="1",H435,0)</f>
        <v>0</v>
      </c>
      <c r="S435" s="14">
        <f>IF(AG435="1",I435,0)</f>
        <v>0</v>
      </c>
      <c r="T435" s="14">
        <f>IF(AG435="7",H435,0)</f>
        <v>0</v>
      </c>
      <c r="U435" s="14">
        <f>IF(AG435="7",I435,0)</f>
        <v>0</v>
      </c>
      <c r="V435" s="14">
        <f>IF(AG435="2",H435,0)</f>
        <v>0</v>
      </c>
      <c r="W435" s="14">
        <f>IF(AG435="2",I435,0)</f>
        <v>0</v>
      </c>
      <c r="X435" s="14">
        <f>IF(AG435="0",J435,0)</f>
        <v>0</v>
      </c>
      <c r="Y435" s="8" t="s">
        <v>406</v>
      </c>
      <c r="Z435" s="5">
        <f>IF(AD435=0,J435,0)</f>
        <v>0</v>
      </c>
      <c r="AA435" s="5">
        <f>IF(AD435=15,J435,0)</f>
        <v>0</v>
      </c>
      <c r="AB435" s="5">
        <f>IF(AD435=21,J435,0)</f>
        <v>0</v>
      </c>
      <c r="AD435" s="14">
        <v>15</v>
      </c>
      <c r="AE435" s="14">
        <f>G435*0.0441414141414141</f>
        <v>0</v>
      </c>
      <c r="AF435" s="14">
        <f>G435*(1-0.0441414141414141)</f>
        <v>0</v>
      </c>
      <c r="AG435" s="10" t="s">
        <v>13</v>
      </c>
      <c r="AM435" s="14">
        <f>F435*AE435</f>
        <v>0</v>
      </c>
      <c r="AN435" s="14">
        <f>F435*AF435</f>
        <v>0</v>
      </c>
      <c r="AO435" s="15" t="s">
        <v>1701</v>
      </c>
      <c r="AP435" s="15" t="s">
        <v>1735</v>
      </c>
      <c r="AQ435" s="8" t="s">
        <v>1769</v>
      </c>
      <c r="AS435" s="14">
        <f>AM435+AN435</f>
        <v>0</v>
      </c>
      <c r="AT435" s="14">
        <f>G435/(100-AU435)*100</f>
        <v>0</v>
      </c>
      <c r="AU435" s="14">
        <v>0</v>
      </c>
      <c r="AV435" s="14">
        <f>L435</f>
        <v>0.007425</v>
      </c>
    </row>
    <row r="436" spans="1:13" ht="12.75">
      <c r="A436" s="102"/>
      <c r="B436" s="102"/>
      <c r="C436" s="102"/>
      <c r="D436" s="103" t="s">
        <v>1143</v>
      </c>
      <c r="E436" s="102"/>
      <c r="F436" s="104">
        <v>7.5</v>
      </c>
      <c r="G436" s="102"/>
      <c r="H436" s="102"/>
      <c r="I436" s="102"/>
      <c r="J436" s="102"/>
      <c r="K436" s="102"/>
      <c r="L436" s="102"/>
      <c r="M436" s="102"/>
    </row>
    <row r="437" spans="1:48" ht="12.75">
      <c r="A437" s="99" t="s">
        <v>134</v>
      </c>
      <c r="B437" s="99" t="s">
        <v>406</v>
      </c>
      <c r="C437" s="99" t="s">
        <v>547</v>
      </c>
      <c r="D437" s="99" t="s">
        <v>1144</v>
      </c>
      <c r="E437" s="99" t="s">
        <v>1640</v>
      </c>
      <c r="F437" s="100">
        <v>10.01</v>
      </c>
      <c r="G437" s="100">
        <v>0</v>
      </c>
      <c r="H437" s="100">
        <f>F437*AE437</f>
        <v>0</v>
      </c>
      <c r="I437" s="100">
        <f>J437-H437</f>
        <v>0</v>
      </c>
      <c r="J437" s="100">
        <f>F437*G437</f>
        <v>0</v>
      </c>
      <c r="K437" s="100">
        <v>0</v>
      </c>
      <c r="L437" s="100">
        <f>F437*K437</f>
        <v>0</v>
      </c>
      <c r="M437" s="101" t="s">
        <v>1667</v>
      </c>
      <c r="P437" s="14">
        <f>IF(AG437="5",J437,0)</f>
        <v>0</v>
      </c>
      <c r="R437" s="14">
        <f>IF(AG437="1",H437,0)</f>
        <v>0</v>
      </c>
      <c r="S437" s="14">
        <f>IF(AG437="1",I437,0)</f>
        <v>0</v>
      </c>
      <c r="T437" s="14">
        <f>IF(AG437="7",H437,0)</f>
        <v>0</v>
      </c>
      <c r="U437" s="14">
        <f>IF(AG437="7",I437,0)</f>
        <v>0</v>
      </c>
      <c r="V437" s="14">
        <f>IF(AG437="2",H437,0)</f>
        <v>0</v>
      </c>
      <c r="W437" s="14">
        <f>IF(AG437="2",I437,0)</f>
        <v>0</v>
      </c>
      <c r="X437" s="14">
        <f>IF(AG437="0",J437,0)</f>
        <v>0</v>
      </c>
      <c r="Y437" s="8" t="s">
        <v>406</v>
      </c>
      <c r="Z437" s="5">
        <f>IF(AD437=0,J437,0)</f>
        <v>0</v>
      </c>
      <c r="AA437" s="5">
        <f>IF(AD437=15,J437,0)</f>
        <v>0</v>
      </c>
      <c r="AB437" s="5">
        <f>IF(AD437=21,J437,0)</f>
        <v>0</v>
      </c>
      <c r="AD437" s="14">
        <v>15</v>
      </c>
      <c r="AE437" s="14">
        <f>G437*0</f>
        <v>0</v>
      </c>
      <c r="AF437" s="14">
        <f>G437*(1-0)</f>
        <v>0</v>
      </c>
      <c r="AG437" s="10" t="s">
        <v>13</v>
      </c>
      <c r="AM437" s="14">
        <f>F437*AE437</f>
        <v>0</v>
      </c>
      <c r="AN437" s="14">
        <f>F437*AF437</f>
        <v>0</v>
      </c>
      <c r="AO437" s="15" t="s">
        <v>1701</v>
      </c>
      <c r="AP437" s="15" t="s">
        <v>1735</v>
      </c>
      <c r="AQ437" s="8" t="s">
        <v>1769</v>
      </c>
      <c r="AS437" s="14">
        <f>AM437+AN437</f>
        <v>0</v>
      </c>
      <c r="AT437" s="14">
        <f>G437/(100-AU437)*100</f>
        <v>0</v>
      </c>
      <c r="AU437" s="14">
        <v>0</v>
      </c>
      <c r="AV437" s="14">
        <f>L437</f>
        <v>0</v>
      </c>
    </row>
    <row r="438" spans="1:13" ht="12.75">
      <c r="A438" s="102"/>
      <c r="B438" s="102"/>
      <c r="C438" s="102"/>
      <c r="D438" s="103" t="s">
        <v>1145</v>
      </c>
      <c r="E438" s="102"/>
      <c r="F438" s="104">
        <v>10.01</v>
      </c>
      <c r="G438" s="102"/>
      <c r="H438" s="102"/>
      <c r="I438" s="102"/>
      <c r="J438" s="102"/>
      <c r="K438" s="102"/>
      <c r="L438" s="102"/>
      <c r="M438" s="102"/>
    </row>
    <row r="439" spans="1:48" ht="12.75">
      <c r="A439" s="99" t="s">
        <v>135</v>
      </c>
      <c r="B439" s="99" t="s">
        <v>406</v>
      </c>
      <c r="C439" s="99" t="s">
        <v>544</v>
      </c>
      <c r="D439" s="99" t="s">
        <v>1132</v>
      </c>
      <c r="E439" s="99" t="s">
        <v>1639</v>
      </c>
      <c r="F439" s="100">
        <v>0.54</v>
      </c>
      <c r="G439" s="100">
        <v>0</v>
      </c>
      <c r="H439" s="100">
        <f>F439*AE439</f>
        <v>0</v>
      </c>
      <c r="I439" s="100">
        <f>J439-H439</f>
        <v>0</v>
      </c>
      <c r="J439" s="100">
        <f>F439*G439</f>
        <v>0</v>
      </c>
      <c r="K439" s="100">
        <v>0.02357</v>
      </c>
      <c r="L439" s="100">
        <f>F439*K439</f>
        <v>0.012727800000000001</v>
      </c>
      <c r="M439" s="101" t="s">
        <v>1667</v>
      </c>
      <c r="P439" s="14">
        <f>IF(AG439="5",J439,0)</f>
        <v>0</v>
      </c>
      <c r="R439" s="14">
        <f>IF(AG439="1",H439,0)</f>
        <v>0</v>
      </c>
      <c r="S439" s="14">
        <f>IF(AG439="1",I439,0)</f>
        <v>0</v>
      </c>
      <c r="T439" s="14">
        <f>IF(AG439="7",H439,0)</f>
        <v>0</v>
      </c>
      <c r="U439" s="14">
        <f>IF(AG439="7",I439,0)</f>
        <v>0</v>
      </c>
      <c r="V439" s="14">
        <f>IF(AG439="2",H439,0)</f>
        <v>0</v>
      </c>
      <c r="W439" s="14">
        <f>IF(AG439="2",I439,0)</f>
        <v>0</v>
      </c>
      <c r="X439" s="14">
        <f>IF(AG439="0",J439,0)</f>
        <v>0</v>
      </c>
      <c r="Y439" s="8" t="s">
        <v>406</v>
      </c>
      <c r="Z439" s="5">
        <f>IF(AD439=0,J439,0)</f>
        <v>0</v>
      </c>
      <c r="AA439" s="5">
        <f>IF(AD439=15,J439,0)</f>
        <v>0</v>
      </c>
      <c r="AB439" s="5">
        <f>IF(AD439=21,J439,0)</f>
        <v>0</v>
      </c>
      <c r="AD439" s="14">
        <v>15</v>
      </c>
      <c r="AE439" s="14">
        <f>G439*1</f>
        <v>0</v>
      </c>
      <c r="AF439" s="14">
        <f>G439*(1-1)</f>
        <v>0</v>
      </c>
      <c r="AG439" s="10" t="s">
        <v>13</v>
      </c>
      <c r="AM439" s="14">
        <f>F439*AE439</f>
        <v>0</v>
      </c>
      <c r="AN439" s="14">
        <f>F439*AF439</f>
        <v>0</v>
      </c>
      <c r="AO439" s="15" t="s">
        <v>1701</v>
      </c>
      <c r="AP439" s="15" t="s">
        <v>1735</v>
      </c>
      <c r="AQ439" s="8" t="s">
        <v>1769</v>
      </c>
      <c r="AS439" s="14">
        <f>AM439+AN439</f>
        <v>0</v>
      </c>
      <c r="AT439" s="14">
        <f>G439/(100-AU439)*100</f>
        <v>0</v>
      </c>
      <c r="AU439" s="14">
        <v>0</v>
      </c>
      <c r="AV439" s="14">
        <f>L439</f>
        <v>0.012727800000000001</v>
      </c>
    </row>
    <row r="440" spans="1:13" ht="12.75">
      <c r="A440" s="102"/>
      <c r="B440" s="102"/>
      <c r="C440" s="102"/>
      <c r="D440" s="103" t="s">
        <v>1146</v>
      </c>
      <c r="E440" s="102"/>
      <c r="F440" s="104">
        <v>0.09</v>
      </c>
      <c r="G440" s="102"/>
      <c r="H440" s="102"/>
      <c r="I440" s="102"/>
      <c r="J440" s="102"/>
      <c r="K440" s="102"/>
      <c r="L440" s="102"/>
      <c r="M440" s="102"/>
    </row>
    <row r="441" spans="1:13" ht="12.75">
      <c r="A441" s="102"/>
      <c r="B441" s="102"/>
      <c r="C441" s="102"/>
      <c r="D441" s="103" t="s">
        <v>1147</v>
      </c>
      <c r="E441" s="102"/>
      <c r="F441" s="104">
        <v>0.21</v>
      </c>
      <c r="G441" s="102"/>
      <c r="H441" s="102"/>
      <c r="I441" s="102"/>
      <c r="J441" s="102"/>
      <c r="K441" s="102"/>
      <c r="L441" s="102"/>
      <c r="M441" s="102"/>
    </row>
    <row r="442" spans="1:13" ht="12.75">
      <c r="A442" s="102"/>
      <c r="B442" s="102"/>
      <c r="C442" s="102"/>
      <c r="D442" s="103" t="s">
        <v>1148</v>
      </c>
      <c r="E442" s="102"/>
      <c r="F442" s="104">
        <v>0.16</v>
      </c>
      <c r="G442" s="102"/>
      <c r="H442" s="102"/>
      <c r="I442" s="102"/>
      <c r="J442" s="102"/>
      <c r="K442" s="102"/>
      <c r="L442" s="102"/>
      <c r="M442" s="102"/>
    </row>
    <row r="443" spans="1:13" ht="12.75">
      <c r="A443" s="102"/>
      <c r="B443" s="102"/>
      <c r="C443" s="102"/>
      <c r="D443" s="103" t="s">
        <v>1149</v>
      </c>
      <c r="E443" s="102"/>
      <c r="F443" s="104">
        <v>0.05</v>
      </c>
      <c r="G443" s="102"/>
      <c r="H443" s="102"/>
      <c r="I443" s="102"/>
      <c r="J443" s="102"/>
      <c r="K443" s="102"/>
      <c r="L443" s="102"/>
      <c r="M443" s="102"/>
    </row>
    <row r="444" spans="1:13" ht="12.75">
      <c r="A444" s="102"/>
      <c r="B444" s="102"/>
      <c r="C444" s="102"/>
      <c r="D444" s="103" t="s">
        <v>1150</v>
      </c>
      <c r="E444" s="102"/>
      <c r="F444" s="104">
        <v>0.03</v>
      </c>
      <c r="G444" s="102"/>
      <c r="H444" s="102"/>
      <c r="I444" s="102"/>
      <c r="J444" s="102"/>
      <c r="K444" s="102"/>
      <c r="L444" s="102"/>
      <c r="M444" s="102"/>
    </row>
    <row r="445" spans="1:48" ht="12.75">
      <c r="A445" s="105" t="s">
        <v>136</v>
      </c>
      <c r="B445" s="105" t="s">
        <v>406</v>
      </c>
      <c r="C445" s="105" t="s">
        <v>548</v>
      </c>
      <c r="D445" s="105" t="s">
        <v>1151</v>
      </c>
      <c r="E445" s="105" t="s">
        <v>1640</v>
      </c>
      <c r="F445" s="106">
        <v>11.01</v>
      </c>
      <c r="G445" s="106">
        <v>0</v>
      </c>
      <c r="H445" s="106">
        <f>F445*AE445</f>
        <v>0</v>
      </c>
      <c r="I445" s="106">
        <f>J445-H445</f>
        <v>0</v>
      </c>
      <c r="J445" s="106">
        <f>F445*G445</f>
        <v>0</v>
      </c>
      <c r="K445" s="106">
        <v>0.0139</v>
      </c>
      <c r="L445" s="106">
        <f>F445*K445</f>
        <v>0.15303899999999998</v>
      </c>
      <c r="M445" s="107" t="s">
        <v>1667</v>
      </c>
      <c r="P445" s="14">
        <f>IF(AG445="5",J445,0)</f>
        <v>0</v>
      </c>
      <c r="R445" s="14">
        <f>IF(AG445="1",H445,0)</f>
        <v>0</v>
      </c>
      <c r="S445" s="14">
        <f>IF(AG445="1",I445,0)</f>
        <v>0</v>
      </c>
      <c r="T445" s="14">
        <f>IF(AG445="7",H445,0)</f>
        <v>0</v>
      </c>
      <c r="U445" s="14">
        <f>IF(AG445="7",I445,0)</f>
        <v>0</v>
      </c>
      <c r="V445" s="14">
        <f>IF(AG445="2",H445,0)</f>
        <v>0</v>
      </c>
      <c r="W445" s="14">
        <f>IF(AG445="2",I445,0)</f>
        <v>0</v>
      </c>
      <c r="X445" s="14">
        <f>IF(AG445="0",J445,0)</f>
        <v>0</v>
      </c>
      <c r="Y445" s="8" t="s">
        <v>406</v>
      </c>
      <c r="Z445" s="6">
        <f>IF(AD445=0,J445,0)</f>
        <v>0</v>
      </c>
      <c r="AA445" s="6">
        <f>IF(AD445=15,J445,0)</f>
        <v>0</v>
      </c>
      <c r="AB445" s="6">
        <f>IF(AD445=21,J445,0)</f>
        <v>0</v>
      </c>
      <c r="AD445" s="14">
        <v>15</v>
      </c>
      <c r="AE445" s="14">
        <f>G445*1</f>
        <v>0</v>
      </c>
      <c r="AF445" s="14">
        <f>G445*(1-1)</f>
        <v>0</v>
      </c>
      <c r="AG445" s="11" t="s">
        <v>13</v>
      </c>
      <c r="AM445" s="14">
        <f>F445*AE445</f>
        <v>0</v>
      </c>
      <c r="AN445" s="14">
        <f>F445*AF445</f>
        <v>0</v>
      </c>
      <c r="AO445" s="15" t="s">
        <v>1701</v>
      </c>
      <c r="AP445" s="15" t="s">
        <v>1735</v>
      </c>
      <c r="AQ445" s="8" t="s">
        <v>1769</v>
      </c>
      <c r="AS445" s="14">
        <f>AM445+AN445</f>
        <v>0</v>
      </c>
      <c r="AT445" s="14">
        <f>G445/(100-AU445)*100</f>
        <v>0</v>
      </c>
      <c r="AU445" s="14">
        <v>0</v>
      </c>
      <c r="AV445" s="14">
        <f>L445</f>
        <v>0.15303899999999998</v>
      </c>
    </row>
    <row r="446" spans="1:13" ht="12.75">
      <c r="A446" s="102"/>
      <c r="B446" s="102"/>
      <c r="C446" s="102"/>
      <c r="D446" s="103" t="s">
        <v>1152</v>
      </c>
      <c r="E446" s="102"/>
      <c r="F446" s="104">
        <v>11.01</v>
      </c>
      <c r="G446" s="102"/>
      <c r="H446" s="102"/>
      <c r="I446" s="102"/>
      <c r="J446" s="102"/>
      <c r="K446" s="102"/>
      <c r="L446" s="102"/>
      <c r="M446" s="102"/>
    </row>
    <row r="447" spans="1:48" ht="12.75">
      <c r="A447" s="99" t="s">
        <v>137</v>
      </c>
      <c r="B447" s="99" t="s">
        <v>406</v>
      </c>
      <c r="C447" s="99" t="s">
        <v>549</v>
      </c>
      <c r="D447" s="99" t="s">
        <v>1153</v>
      </c>
      <c r="E447" s="99" t="s">
        <v>1640</v>
      </c>
      <c r="F447" s="100">
        <v>4.35</v>
      </c>
      <c r="G447" s="100">
        <v>0</v>
      </c>
      <c r="H447" s="100">
        <f>F447*AE447</f>
        <v>0</v>
      </c>
      <c r="I447" s="100">
        <f>J447-H447</f>
        <v>0</v>
      </c>
      <c r="J447" s="100">
        <f>F447*G447</f>
        <v>0</v>
      </c>
      <c r="K447" s="100">
        <v>0.01402</v>
      </c>
      <c r="L447" s="100">
        <f>F447*K447</f>
        <v>0.06098699999999999</v>
      </c>
      <c r="M447" s="101" t="s">
        <v>1667</v>
      </c>
      <c r="P447" s="14">
        <f>IF(AG447="5",J447,0)</f>
        <v>0</v>
      </c>
      <c r="R447" s="14">
        <f>IF(AG447="1",H447,0)</f>
        <v>0</v>
      </c>
      <c r="S447" s="14">
        <f>IF(AG447="1",I447,0)</f>
        <v>0</v>
      </c>
      <c r="T447" s="14">
        <f>IF(AG447="7",H447,0)</f>
        <v>0</v>
      </c>
      <c r="U447" s="14">
        <f>IF(AG447="7",I447,0)</f>
        <v>0</v>
      </c>
      <c r="V447" s="14">
        <f>IF(AG447="2",H447,0)</f>
        <v>0</v>
      </c>
      <c r="W447" s="14">
        <f>IF(AG447="2",I447,0)</f>
        <v>0</v>
      </c>
      <c r="X447" s="14">
        <f>IF(AG447="0",J447,0)</f>
        <v>0</v>
      </c>
      <c r="Y447" s="8" t="s">
        <v>406</v>
      </c>
      <c r="Z447" s="5">
        <f>IF(AD447=0,J447,0)</f>
        <v>0</v>
      </c>
      <c r="AA447" s="5">
        <f>IF(AD447=15,J447,0)</f>
        <v>0</v>
      </c>
      <c r="AB447" s="5">
        <f>IF(AD447=21,J447,0)</f>
        <v>0</v>
      </c>
      <c r="AD447" s="14">
        <v>15</v>
      </c>
      <c r="AE447" s="14">
        <f>G447*0.743053892215569</f>
        <v>0</v>
      </c>
      <c r="AF447" s="14">
        <f>G447*(1-0.743053892215569)</f>
        <v>0</v>
      </c>
      <c r="AG447" s="10" t="s">
        <v>13</v>
      </c>
      <c r="AM447" s="14">
        <f>F447*AE447</f>
        <v>0</v>
      </c>
      <c r="AN447" s="14">
        <f>F447*AF447</f>
        <v>0</v>
      </c>
      <c r="AO447" s="15" t="s">
        <v>1701</v>
      </c>
      <c r="AP447" s="15" t="s">
        <v>1735</v>
      </c>
      <c r="AQ447" s="8" t="s">
        <v>1769</v>
      </c>
      <c r="AS447" s="14">
        <f>AM447+AN447</f>
        <v>0</v>
      </c>
      <c r="AT447" s="14">
        <f>G447/(100-AU447)*100</f>
        <v>0</v>
      </c>
      <c r="AU447" s="14">
        <v>0</v>
      </c>
      <c r="AV447" s="14">
        <f>L447</f>
        <v>0.06098699999999999</v>
      </c>
    </row>
    <row r="448" spans="1:13" ht="12.75">
      <c r="A448" s="102"/>
      <c r="B448" s="102"/>
      <c r="C448" s="102"/>
      <c r="D448" s="103" t="s">
        <v>1154</v>
      </c>
      <c r="E448" s="102"/>
      <c r="F448" s="104">
        <v>4.35</v>
      </c>
      <c r="G448" s="102"/>
      <c r="H448" s="102"/>
      <c r="I448" s="102"/>
      <c r="J448" s="102"/>
      <c r="K448" s="102"/>
      <c r="L448" s="102"/>
      <c r="M448" s="102"/>
    </row>
    <row r="449" spans="1:48" ht="12.75">
      <c r="A449" s="99" t="s">
        <v>138</v>
      </c>
      <c r="B449" s="99" t="s">
        <v>406</v>
      </c>
      <c r="C449" s="99" t="s">
        <v>550</v>
      </c>
      <c r="D449" s="99" t="s">
        <v>1155</v>
      </c>
      <c r="E449" s="99" t="s">
        <v>1640</v>
      </c>
      <c r="F449" s="100">
        <v>25.5</v>
      </c>
      <c r="G449" s="100">
        <v>0</v>
      </c>
      <c r="H449" s="100">
        <f>F449*AE449</f>
        <v>0</v>
      </c>
      <c r="I449" s="100">
        <f>J449-H449</f>
        <v>0</v>
      </c>
      <c r="J449" s="100">
        <f>F449*G449</f>
        <v>0</v>
      </c>
      <c r="K449" s="100">
        <v>0</v>
      </c>
      <c r="L449" s="100">
        <f>F449*K449</f>
        <v>0</v>
      </c>
      <c r="M449" s="101" t="s">
        <v>1667</v>
      </c>
      <c r="P449" s="14">
        <f>IF(AG449="5",J449,0)</f>
        <v>0</v>
      </c>
      <c r="R449" s="14">
        <f>IF(AG449="1",H449,0)</f>
        <v>0</v>
      </c>
      <c r="S449" s="14">
        <f>IF(AG449="1",I449,0)</f>
        <v>0</v>
      </c>
      <c r="T449" s="14">
        <f>IF(AG449="7",H449,0)</f>
        <v>0</v>
      </c>
      <c r="U449" s="14">
        <f>IF(AG449="7",I449,0)</f>
        <v>0</v>
      </c>
      <c r="V449" s="14">
        <f>IF(AG449="2",H449,0)</f>
        <v>0</v>
      </c>
      <c r="W449" s="14">
        <f>IF(AG449="2",I449,0)</f>
        <v>0</v>
      </c>
      <c r="X449" s="14">
        <f>IF(AG449="0",J449,0)</f>
        <v>0</v>
      </c>
      <c r="Y449" s="8" t="s">
        <v>406</v>
      </c>
      <c r="Z449" s="5">
        <f>IF(AD449=0,J449,0)</f>
        <v>0</v>
      </c>
      <c r="AA449" s="5">
        <f>IF(AD449=15,J449,0)</f>
        <v>0</v>
      </c>
      <c r="AB449" s="5">
        <f>IF(AD449=21,J449,0)</f>
        <v>0</v>
      </c>
      <c r="AD449" s="14">
        <v>15</v>
      </c>
      <c r="AE449" s="14">
        <f>G449*0</f>
        <v>0</v>
      </c>
      <c r="AF449" s="14">
        <f>G449*(1-0)</f>
        <v>0</v>
      </c>
      <c r="AG449" s="10" t="s">
        <v>13</v>
      </c>
      <c r="AM449" s="14">
        <f>F449*AE449</f>
        <v>0</v>
      </c>
      <c r="AN449" s="14">
        <f>F449*AF449</f>
        <v>0</v>
      </c>
      <c r="AO449" s="15" t="s">
        <v>1701</v>
      </c>
      <c r="AP449" s="15" t="s">
        <v>1735</v>
      </c>
      <c r="AQ449" s="8" t="s">
        <v>1769</v>
      </c>
      <c r="AS449" s="14">
        <f>AM449+AN449</f>
        <v>0</v>
      </c>
      <c r="AT449" s="14">
        <f>G449/(100-AU449)*100</f>
        <v>0</v>
      </c>
      <c r="AU449" s="14">
        <v>0</v>
      </c>
      <c r="AV449" s="14">
        <f>L449</f>
        <v>0</v>
      </c>
    </row>
    <row r="450" spans="1:13" ht="12.75">
      <c r="A450" s="102"/>
      <c r="B450" s="102"/>
      <c r="C450" s="102"/>
      <c r="D450" s="103" t="s">
        <v>1156</v>
      </c>
      <c r="E450" s="102"/>
      <c r="F450" s="104">
        <v>25.5</v>
      </c>
      <c r="G450" s="102"/>
      <c r="H450" s="102"/>
      <c r="I450" s="102"/>
      <c r="J450" s="102"/>
      <c r="K450" s="102"/>
      <c r="L450" s="102"/>
      <c r="M450" s="102"/>
    </row>
    <row r="451" spans="1:48" ht="12.75">
      <c r="A451" s="105" t="s">
        <v>139</v>
      </c>
      <c r="B451" s="105" t="s">
        <v>406</v>
      </c>
      <c r="C451" s="105" t="s">
        <v>551</v>
      </c>
      <c r="D451" s="105" t="s">
        <v>1157</v>
      </c>
      <c r="E451" s="105" t="s">
        <v>1640</v>
      </c>
      <c r="F451" s="106">
        <v>26.78</v>
      </c>
      <c r="G451" s="106">
        <v>0</v>
      </c>
      <c r="H451" s="106">
        <f>F451*AE451</f>
        <v>0</v>
      </c>
      <c r="I451" s="106">
        <f>J451-H451</f>
        <v>0</v>
      </c>
      <c r="J451" s="106">
        <f>F451*G451</f>
        <v>0</v>
      </c>
      <c r="K451" s="106">
        <v>0.015</v>
      </c>
      <c r="L451" s="106">
        <f>F451*K451</f>
        <v>0.4017</v>
      </c>
      <c r="M451" s="107" t="s">
        <v>1667</v>
      </c>
      <c r="P451" s="14">
        <f>IF(AG451="5",J451,0)</f>
        <v>0</v>
      </c>
      <c r="R451" s="14">
        <f>IF(AG451="1",H451,0)</f>
        <v>0</v>
      </c>
      <c r="S451" s="14">
        <f>IF(AG451="1",I451,0)</f>
        <v>0</v>
      </c>
      <c r="T451" s="14">
        <f>IF(AG451="7",H451,0)</f>
        <v>0</v>
      </c>
      <c r="U451" s="14">
        <f>IF(AG451="7",I451,0)</f>
        <v>0</v>
      </c>
      <c r="V451" s="14">
        <f>IF(AG451="2",H451,0)</f>
        <v>0</v>
      </c>
      <c r="W451" s="14">
        <f>IF(AG451="2",I451,0)</f>
        <v>0</v>
      </c>
      <c r="X451" s="14">
        <f>IF(AG451="0",J451,0)</f>
        <v>0</v>
      </c>
      <c r="Y451" s="8" t="s">
        <v>406</v>
      </c>
      <c r="Z451" s="6">
        <f>IF(AD451=0,J451,0)</f>
        <v>0</v>
      </c>
      <c r="AA451" s="6">
        <f>IF(AD451=15,J451,0)</f>
        <v>0</v>
      </c>
      <c r="AB451" s="6">
        <f>IF(AD451=21,J451,0)</f>
        <v>0</v>
      </c>
      <c r="AD451" s="14">
        <v>15</v>
      </c>
      <c r="AE451" s="14">
        <f>G451*1</f>
        <v>0</v>
      </c>
      <c r="AF451" s="14">
        <f>G451*(1-1)</f>
        <v>0</v>
      </c>
      <c r="AG451" s="11" t="s">
        <v>13</v>
      </c>
      <c r="AM451" s="14">
        <f>F451*AE451</f>
        <v>0</v>
      </c>
      <c r="AN451" s="14">
        <f>F451*AF451</f>
        <v>0</v>
      </c>
      <c r="AO451" s="15" t="s">
        <v>1701</v>
      </c>
      <c r="AP451" s="15" t="s">
        <v>1735</v>
      </c>
      <c r="AQ451" s="8" t="s">
        <v>1769</v>
      </c>
      <c r="AS451" s="14">
        <f>AM451+AN451</f>
        <v>0</v>
      </c>
      <c r="AT451" s="14">
        <f>G451/(100-AU451)*100</f>
        <v>0</v>
      </c>
      <c r="AU451" s="14">
        <v>0</v>
      </c>
      <c r="AV451" s="14">
        <f>L451</f>
        <v>0.4017</v>
      </c>
    </row>
    <row r="452" spans="1:13" ht="12.75">
      <c r="A452" s="102"/>
      <c r="B452" s="102"/>
      <c r="C452" s="102"/>
      <c r="D452" s="103" t="s">
        <v>1158</v>
      </c>
      <c r="E452" s="102"/>
      <c r="F452" s="104">
        <v>26.78</v>
      </c>
      <c r="G452" s="102"/>
      <c r="H452" s="102"/>
      <c r="I452" s="102"/>
      <c r="J452" s="102"/>
      <c r="K452" s="102"/>
      <c r="L452" s="102"/>
      <c r="M452" s="102"/>
    </row>
    <row r="453" spans="1:48" ht="12.75">
      <c r="A453" s="99" t="s">
        <v>140</v>
      </c>
      <c r="B453" s="99" t="s">
        <v>406</v>
      </c>
      <c r="C453" s="99" t="s">
        <v>552</v>
      </c>
      <c r="D453" s="99" t="s">
        <v>1159</v>
      </c>
      <c r="E453" s="99" t="s">
        <v>1640</v>
      </c>
      <c r="F453" s="100">
        <v>0.84</v>
      </c>
      <c r="G453" s="100">
        <v>0</v>
      </c>
      <c r="H453" s="100">
        <f>F453*AE453</f>
        <v>0</v>
      </c>
      <c r="I453" s="100">
        <f>J453-H453</f>
        <v>0</v>
      </c>
      <c r="J453" s="100">
        <f>F453*G453</f>
        <v>0</v>
      </c>
      <c r="K453" s="100">
        <v>0.0132</v>
      </c>
      <c r="L453" s="100">
        <f>F453*K453</f>
        <v>0.011087999999999999</v>
      </c>
      <c r="M453" s="101" t="s">
        <v>1667</v>
      </c>
      <c r="P453" s="14">
        <f>IF(AG453="5",J453,0)</f>
        <v>0</v>
      </c>
      <c r="R453" s="14">
        <f>IF(AG453="1",H453,0)</f>
        <v>0</v>
      </c>
      <c r="S453" s="14">
        <f>IF(AG453="1",I453,0)</f>
        <v>0</v>
      </c>
      <c r="T453" s="14">
        <f>IF(AG453="7",H453,0)</f>
        <v>0</v>
      </c>
      <c r="U453" s="14">
        <f>IF(AG453="7",I453,0)</f>
        <v>0</v>
      </c>
      <c r="V453" s="14">
        <f>IF(AG453="2",H453,0)</f>
        <v>0</v>
      </c>
      <c r="W453" s="14">
        <f>IF(AG453="2",I453,0)</f>
        <v>0</v>
      </c>
      <c r="X453" s="14">
        <f>IF(AG453="0",J453,0)</f>
        <v>0</v>
      </c>
      <c r="Y453" s="8" t="s">
        <v>406</v>
      </c>
      <c r="Z453" s="5">
        <f>IF(AD453=0,J453,0)</f>
        <v>0</v>
      </c>
      <c r="AA453" s="5">
        <f>IF(AD453=15,J453,0)</f>
        <v>0</v>
      </c>
      <c r="AB453" s="5">
        <f>IF(AD453=21,J453,0)</f>
        <v>0</v>
      </c>
      <c r="AD453" s="14">
        <v>15</v>
      </c>
      <c r="AE453" s="14">
        <f>G453*0</f>
        <v>0</v>
      </c>
      <c r="AF453" s="14">
        <f>G453*(1-0)</f>
        <v>0</v>
      </c>
      <c r="AG453" s="10" t="s">
        <v>13</v>
      </c>
      <c r="AM453" s="14">
        <f>F453*AE453</f>
        <v>0</v>
      </c>
      <c r="AN453" s="14">
        <f>F453*AF453</f>
        <v>0</v>
      </c>
      <c r="AO453" s="15" t="s">
        <v>1701</v>
      </c>
      <c r="AP453" s="15" t="s">
        <v>1735</v>
      </c>
      <c r="AQ453" s="8" t="s">
        <v>1769</v>
      </c>
      <c r="AS453" s="14">
        <f>AM453+AN453</f>
        <v>0</v>
      </c>
      <c r="AT453" s="14">
        <f>G453/(100-AU453)*100</f>
        <v>0</v>
      </c>
      <c r="AU453" s="14">
        <v>0</v>
      </c>
      <c r="AV453" s="14">
        <f>L453</f>
        <v>0.011087999999999999</v>
      </c>
    </row>
    <row r="454" spans="1:13" ht="12.75">
      <c r="A454" s="102"/>
      <c r="B454" s="102"/>
      <c r="C454" s="102"/>
      <c r="D454" s="103" t="s">
        <v>1160</v>
      </c>
      <c r="E454" s="102"/>
      <c r="F454" s="104">
        <v>0.84</v>
      </c>
      <c r="G454" s="102"/>
      <c r="H454" s="102"/>
      <c r="I454" s="102"/>
      <c r="J454" s="102"/>
      <c r="K454" s="102"/>
      <c r="L454" s="102"/>
      <c r="M454" s="102"/>
    </row>
    <row r="455" spans="1:48" ht="12.75">
      <c r="A455" s="99" t="s">
        <v>141</v>
      </c>
      <c r="B455" s="99" t="s">
        <v>406</v>
      </c>
      <c r="C455" s="99" t="s">
        <v>553</v>
      </c>
      <c r="D455" s="99" t="s">
        <v>1161</v>
      </c>
      <c r="E455" s="99" t="s">
        <v>1640</v>
      </c>
      <c r="F455" s="100">
        <v>0.2</v>
      </c>
      <c r="G455" s="100">
        <v>0</v>
      </c>
      <c r="H455" s="100">
        <f>F455*AE455</f>
        <v>0</v>
      </c>
      <c r="I455" s="100">
        <f>J455-H455</f>
        <v>0</v>
      </c>
      <c r="J455" s="100">
        <f>F455*G455</f>
        <v>0</v>
      </c>
      <c r="K455" s="100">
        <v>0.0132</v>
      </c>
      <c r="L455" s="100">
        <f>F455*K455</f>
        <v>0.00264</v>
      </c>
      <c r="M455" s="101" t="s">
        <v>1667</v>
      </c>
      <c r="P455" s="14">
        <f>IF(AG455="5",J455,0)</f>
        <v>0</v>
      </c>
      <c r="R455" s="14">
        <f>IF(AG455="1",H455,0)</f>
        <v>0</v>
      </c>
      <c r="S455" s="14">
        <f>IF(AG455="1",I455,0)</f>
        <v>0</v>
      </c>
      <c r="T455" s="14">
        <f>IF(AG455="7",H455,0)</f>
        <v>0</v>
      </c>
      <c r="U455" s="14">
        <f>IF(AG455="7",I455,0)</f>
        <v>0</v>
      </c>
      <c r="V455" s="14">
        <f>IF(AG455="2",H455,0)</f>
        <v>0</v>
      </c>
      <c r="W455" s="14">
        <f>IF(AG455="2",I455,0)</f>
        <v>0</v>
      </c>
      <c r="X455" s="14">
        <f>IF(AG455="0",J455,0)</f>
        <v>0</v>
      </c>
      <c r="Y455" s="8" t="s">
        <v>406</v>
      </c>
      <c r="Z455" s="5">
        <f>IF(AD455=0,J455,0)</f>
        <v>0</v>
      </c>
      <c r="AA455" s="5">
        <f>IF(AD455=15,J455,0)</f>
        <v>0</v>
      </c>
      <c r="AB455" s="5">
        <f>IF(AD455=21,J455,0)</f>
        <v>0</v>
      </c>
      <c r="AD455" s="14">
        <v>15</v>
      </c>
      <c r="AE455" s="14">
        <f>G455*0</f>
        <v>0</v>
      </c>
      <c r="AF455" s="14">
        <f>G455*(1-0)</f>
        <v>0</v>
      </c>
      <c r="AG455" s="10" t="s">
        <v>13</v>
      </c>
      <c r="AM455" s="14">
        <f>F455*AE455</f>
        <v>0</v>
      </c>
      <c r="AN455" s="14">
        <f>F455*AF455</f>
        <v>0</v>
      </c>
      <c r="AO455" s="15" t="s">
        <v>1701</v>
      </c>
      <c r="AP455" s="15" t="s">
        <v>1735</v>
      </c>
      <c r="AQ455" s="8" t="s">
        <v>1769</v>
      </c>
      <c r="AS455" s="14">
        <f>AM455+AN455</f>
        <v>0</v>
      </c>
      <c r="AT455" s="14">
        <f>G455/(100-AU455)*100</f>
        <v>0</v>
      </c>
      <c r="AU455" s="14">
        <v>0</v>
      </c>
      <c r="AV455" s="14">
        <f>L455</f>
        <v>0.00264</v>
      </c>
    </row>
    <row r="456" spans="1:13" ht="12.75">
      <c r="A456" s="102"/>
      <c r="B456" s="102"/>
      <c r="C456" s="102"/>
      <c r="D456" s="103" t="s">
        <v>1162</v>
      </c>
      <c r="E456" s="102"/>
      <c r="F456" s="104">
        <v>0.2</v>
      </c>
      <c r="G456" s="102"/>
      <c r="H456" s="102"/>
      <c r="I456" s="102"/>
      <c r="J456" s="102"/>
      <c r="K456" s="102"/>
      <c r="L456" s="102"/>
      <c r="M456" s="102"/>
    </row>
    <row r="457" spans="1:48" ht="12.75">
      <c r="A457" s="99" t="s">
        <v>142</v>
      </c>
      <c r="B457" s="99" t="s">
        <v>406</v>
      </c>
      <c r="C457" s="99" t="s">
        <v>554</v>
      </c>
      <c r="D457" s="99" t="s">
        <v>1163</v>
      </c>
      <c r="E457" s="99" t="s">
        <v>1639</v>
      </c>
      <c r="F457" s="100">
        <v>0.64</v>
      </c>
      <c r="G457" s="100">
        <v>0</v>
      </c>
      <c r="H457" s="100">
        <f>F457*AE457</f>
        <v>0</v>
      </c>
      <c r="I457" s="100">
        <f>J457-H457</f>
        <v>0</v>
      </c>
      <c r="J457" s="100">
        <f>F457*G457</f>
        <v>0</v>
      </c>
      <c r="K457" s="100">
        <v>0.00295</v>
      </c>
      <c r="L457" s="100">
        <f>F457*K457</f>
        <v>0.001888</v>
      </c>
      <c r="M457" s="101" t="s">
        <v>1667</v>
      </c>
      <c r="P457" s="14">
        <f>IF(AG457="5",J457,0)</f>
        <v>0</v>
      </c>
      <c r="R457" s="14">
        <f>IF(AG457="1",H457,0)</f>
        <v>0</v>
      </c>
      <c r="S457" s="14">
        <f>IF(AG457="1",I457,0)</f>
        <v>0</v>
      </c>
      <c r="T457" s="14">
        <f>IF(AG457="7",H457,0)</f>
        <v>0</v>
      </c>
      <c r="U457" s="14">
        <f>IF(AG457="7",I457,0)</f>
        <v>0</v>
      </c>
      <c r="V457" s="14">
        <f>IF(AG457="2",H457,0)</f>
        <v>0</v>
      </c>
      <c r="W457" s="14">
        <f>IF(AG457="2",I457,0)</f>
        <v>0</v>
      </c>
      <c r="X457" s="14">
        <f>IF(AG457="0",J457,0)</f>
        <v>0</v>
      </c>
      <c r="Y457" s="8" t="s">
        <v>406</v>
      </c>
      <c r="Z457" s="5">
        <f>IF(AD457=0,J457,0)</f>
        <v>0</v>
      </c>
      <c r="AA457" s="5">
        <f>IF(AD457=15,J457,0)</f>
        <v>0</v>
      </c>
      <c r="AB457" s="5">
        <f>IF(AD457=21,J457,0)</f>
        <v>0</v>
      </c>
      <c r="AD457" s="14">
        <v>15</v>
      </c>
      <c r="AE457" s="14">
        <f>G457*1</f>
        <v>0</v>
      </c>
      <c r="AF457" s="14">
        <f>G457*(1-1)</f>
        <v>0</v>
      </c>
      <c r="AG457" s="10" t="s">
        <v>13</v>
      </c>
      <c r="AM457" s="14">
        <f>F457*AE457</f>
        <v>0</v>
      </c>
      <c r="AN457" s="14">
        <f>F457*AF457</f>
        <v>0</v>
      </c>
      <c r="AO457" s="15" t="s">
        <v>1701</v>
      </c>
      <c r="AP457" s="15" t="s">
        <v>1735</v>
      </c>
      <c r="AQ457" s="8" t="s">
        <v>1769</v>
      </c>
      <c r="AS457" s="14">
        <f>AM457+AN457</f>
        <v>0</v>
      </c>
      <c r="AT457" s="14">
        <f>G457/(100-AU457)*100</f>
        <v>0</v>
      </c>
      <c r="AU457" s="14">
        <v>0</v>
      </c>
      <c r="AV457" s="14">
        <f>L457</f>
        <v>0.001888</v>
      </c>
    </row>
    <row r="458" spans="1:13" ht="12.75">
      <c r="A458" s="102"/>
      <c r="B458" s="102"/>
      <c r="C458" s="102"/>
      <c r="D458" s="103" t="s">
        <v>1164</v>
      </c>
      <c r="E458" s="102"/>
      <c r="F458" s="104">
        <v>0.64</v>
      </c>
      <c r="G458" s="102"/>
      <c r="H458" s="102"/>
      <c r="I458" s="102"/>
      <c r="J458" s="102"/>
      <c r="K458" s="102"/>
      <c r="L458" s="102"/>
      <c r="M458" s="102"/>
    </row>
    <row r="459" spans="1:48" ht="12.75">
      <c r="A459" s="105" t="s">
        <v>143</v>
      </c>
      <c r="B459" s="105" t="s">
        <v>406</v>
      </c>
      <c r="C459" s="105" t="s">
        <v>555</v>
      </c>
      <c r="D459" s="105" t="s">
        <v>1165</v>
      </c>
      <c r="E459" s="105" t="s">
        <v>1639</v>
      </c>
      <c r="F459" s="106">
        <v>0.09</v>
      </c>
      <c r="G459" s="106">
        <v>0</v>
      </c>
      <c r="H459" s="106">
        <f>F459*AE459</f>
        <v>0</v>
      </c>
      <c r="I459" s="106">
        <f>J459-H459</f>
        <v>0</v>
      </c>
      <c r="J459" s="106">
        <f>F459*G459</f>
        <v>0</v>
      </c>
      <c r="K459" s="106">
        <v>0.5</v>
      </c>
      <c r="L459" s="106">
        <f>F459*K459</f>
        <v>0.045</v>
      </c>
      <c r="M459" s="107" t="s">
        <v>1667</v>
      </c>
      <c r="P459" s="14">
        <f>IF(AG459="5",J459,0)</f>
        <v>0</v>
      </c>
      <c r="R459" s="14">
        <f>IF(AG459="1",H459,0)</f>
        <v>0</v>
      </c>
      <c r="S459" s="14">
        <f>IF(AG459="1",I459,0)</f>
        <v>0</v>
      </c>
      <c r="T459" s="14">
        <f>IF(AG459="7",H459,0)</f>
        <v>0</v>
      </c>
      <c r="U459" s="14">
        <f>IF(AG459="7",I459,0)</f>
        <v>0</v>
      </c>
      <c r="V459" s="14">
        <f>IF(AG459="2",H459,0)</f>
        <v>0</v>
      </c>
      <c r="W459" s="14">
        <f>IF(AG459="2",I459,0)</f>
        <v>0</v>
      </c>
      <c r="X459" s="14">
        <f>IF(AG459="0",J459,0)</f>
        <v>0</v>
      </c>
      <c r="Y459" s="8" t="s">
        <v>406</v>
      </c>
      <c r="Z459" s="6">
        <f>IF(AD459=0,J459,0)</f>
        <v>0</v>
      </c>
      <c r="AA459" s="6">
        <f>IF(AD459=15,J459,0)</f>
        <v>0</v>
      </c>
      <c r="AB459" s="6">
        <f>IF(AD459=21,J459,0)</f>
        <v>0</v>
      </c>
      <c r="AD459" s="14">
        <v>15</v>
      </c>
      <c r="AE459" s="14">
        <f>G459*1</f>
        <v>0</v>
      </c>
      <c r="AF459" s="14">
        <f>G459*(1-1)</f>
        <v>0</v>
      </c>
      <c r="AG459" s="11" t="s">
        <v>13</v>
      </c>
      <c r="AM459" s="14">
        <f>F459*AE459</f>
        <v>0</v>
      </c>
      <c r="AN459" s="14">
        <f>F459*AF459</f>
        <v>0</v>
      </c>
      <c r="AO459" s="15" t="s">
        <v>1701</v>
      </c>
      <c r="AP459" s="15" t="s">
        <v>1735</v>
      </c>
      <c r="AQ459" s="8" t="s">
        <v>1769</v>
      </c>
      <c r="AS459" s="14">
        <f>AM459+AN459</f>
        <v>0</v>
      </c>
      <c r="AT459" s="14">
        <f>G459/(100-AU459)*100</f>
        <v>0</v>
      </c>
      <c r="AU459" s="14">
        <v>0</v>
      </c>
      <c r="AV459" s="14">
        <f>L459</f>
        <v>0.045</v>
      </c>
    </row>
    <row r="460" spans="1:13" ht="12.75">
      <c r="A460" s="102"/>
      <c r="B460" s="102"/>
      <c r="C460" s="102"/>
      <c r="D460" s="103" t="s">
        <v>1166</v>
      </c>
      <c r="E460" s="102"/>
      <c r="F460" s="104">
        <v>0.09</v>
      </c>
      <c r="G460" s="102"/>
      <c r="H460" s="102"/>
      <c r="I460" s="102"/>
      <c r="J460" s="102"/>
      <c r="K460" s="102"/>
      <c r="L460" s="102"/>
      <c r="M460" s="102"/>
    </row>
    <row r="461" spans="1:48" ht="12.75">
      <c r="A461" s="105" t="s">
        <v>144</v>
      </c>
      <c r="B461" s="105" t="s">
        <v>406</v>
      </c>
      <c r="C461" s="105" t="s">
        <v>556</v>
      </c>
      <c r="D461" s="105" t="s">
        <v>1167</v>
      </c>
      <c r="E461" s="105" t="s">
        <v>1639</v>
      </c>
      <c r="F461" s="106">
        <v>0.22</v>
      </c>
      <c r="G461" s="106">
        <v>0</v>
      </c>
      <c r="H461" s="106">
        <f>F461*AE461</f>
        <v>0</v>
      </c>
      <c r="I461" s="106">
        <f>J461-H461</f>
        <v>0</v>
      </c>
      <c r="J461" s="106">
        <f>F461*G461</f>
        <v>0</v>
      </c>
      <c r="K461" s="106">
        <v>0.5</v>
      </c>
      <c r="L461" s="106">
        <f>F461*K461</f>
        <v>0.11</v>
      </c>
      <c r="M461" s="107" t="s">
        <v>1667</v>
      </c>
      <c r="P461" s="14">
        <f>IF(AG461="5",J461,0)</f>
        <v>0</v>
      </c>
      <c r="R461" s="14">
        <f>IF(AG461="1",H461,0)</f>
        <v>0</v>
      </c>
      <c r="S461" s="14">
        <f>IF(AG461="1",I461,0)</f>
        <v>0</v>
      </c>
      <c r="T461" s="14">
        <f>IF(AG461="7",H461,0)</f>
        <v>0</v>
      </c>
      <c r="U461" s="14">
        <f>IF(AG461="7",I461,0)</f>
        <v>0</v>
      </c>
      <c r="V461" s="14">
        <f>IF(AG461="2",H461,0)</f>
        <v>0</v>
      </c>
      <c r="W461" s="14">
        <f>IF(AG461="2",I461,0)</f>
        <v>0</v>
      </c>
      <c r="X461" s="14">
        <f>IF(AG461="0",J461,0)</f>
        <v>0</v>
      </c>
      <c r="Y461" s="8" t="s">
        <v>406</v>
      </c>
      <c r="Z461" s="6">
        <f>IF(AD461=0,J461,0)</f>
        <v>0</v>
      </c>
      <c r="AA461" s="6">
        <f>IF(AD461=15,J461,0)</f>
        <v>0</v>
      </c>
      <c r="AB461" s="6">
        <f>IF(AD461=21,J461,0)</f>
        <v>0</v>
      </c>
      <c r="AD461" s="14">
        <v>15</v>
      </c>
      <c r="AE461" s="14">
        <f>G461*1</f>
        <v>0</v>
      </c>
      <c r="AF461" s="14">
        <f>G461*(1-1)</f>
        <v>0</v>
      </c>
      <c r="AG461" s="11" t="s">
        <v>13</v>
      </c>
      <c r="AM461" s="14">
        <f>F461*AE461</f>
        <v>0</v>
      </c>
      <c r="AN461" s="14">
        <f>F461*AF461</f>
        <v>0</v>
      </c>
      <c r="AO461" s="15" t="s">
        <v>1701</v>
      </c>
      <c r="AP461" s="15" t="s">
        <v>1735</v>
      </c>
      <c r="AQ461" s="8" t="s">
        <v>1769</v>
      </c>
      <c r="AS461" s="14">
        <f>AM461+AN461</f>
        <v>0</v>
      </c>
      <c r="AT461" s="14">
        <f>G461/(100-AU461)*100</f>
        <v>0</v>
      </c>
      <c r="AU461" s="14">
        <v>0</v>
      </c>
      <c r="AV461" s="14">
        <f>L461</f>
        <v>0.11</v>
      </c>
    </row>
    <row r="462" spans="1:13" ht="12.75">
      <c r="A462" s="102"/>
      <c r="B462" s="102"/>
      <c r="C462" s="102"/>
      <c r="D462" s="103" t="s">
        <v>1168</v>
      </c>
      <c r="E462" s="102"/>
      <c r="F462" s="104">
        <v>0.22</v>
      </c>
      <c r="G462" s="102"/>
      <c r="H462" s="102"/>
      <c r="I462" s="102"/>
      <c r="J462" s="102"/>
      <c r="K462" s="102"/>
      <c r="L462" s="102"/>
      <c r="M462" s="102"/>
    </row>
    <row r="463" spans="1:48" ht="12.75">
      <c r="A463" s="105" t="s">
        <v>145</v>
      </c>
      <c r="B463" s="105" t="s">
        <v>406</v>
      </c>
      <c r="C463" s="105" t="s">
        <v>557</v>
      </c>
      <c r="D463" s="105" t="s">
        <v>1169</v>
      </c>
      <c r="E463" s="105" t="s">
        <v>1639</v>
      </c>
      <c r="F463" s="106">
        <v>0.17</v>
      </c>
      <c r="G463" s="106">
        <v>0</v>
      </c>
      <c r="H463" s="106">
        <f>F463*AE463</f>
        <v>0</v>
      </c>
      <c r="I463" s="106">
        <f>J463-H463</f>
        <v>0</v>
      </c>
      <c r="J463" s="106">
        <f>F463*G463</f>
        <v>0</v>
      </c>
      <c r="K463" s="106">
        <v>0.5</v>
      </c>
      <c r="L463" s="106">
        <f>F463*K463</f>
        <v>0.085</v>
      </c>
      <c r="M463" s="107" t="s">
        <v>1667</v>
      </c>
      <c r="P463" s="14">
        <f>IF(AG463="5",J463,0)</f>
        <v>0</v>
      </c>
      <c r="R463" s="14">
        <f>IF(AG463="1",H463,0)</f>
        <v>0</v>
      </c>
      <c r="S463" s="14">
        <f>IF(AG463="1",I463,0)</f>
        <v>0</v>
      </c>
      <c r="T463" s="14">
        <f>IF(AG463="7",H463,0)</f>
        <v>0</v>
      </c>
      <c r="U463" s="14">
        <f>IF(AG463="7",I463,0)</f>
        <v>0</v>
      </c>
      <c r="V463" s="14">
        <f>IF(AG463="2",H463,0)</f>
        <v>0</v>
      </c>
      <c r="W463" s="14">
        <f>IF(AG463="2",I463,0)</f>
        <v>0</v>
      </c>
      <c r="X463" s="14">
        <f>IF(AG463="0",J463,0)</f>
        <v>0</v>
      </c>
      <c r="Y463" s="8" t="s">
        <v>406</v>
      </c>
      <c r="Z463" s="6">
        <f>IF(AD463=0,J463,0)</f>
        <v>0</v>
      </c>
      <c r="AA463" s="6">
        <f>IF(AD463=15,J463,0)</f>
        <v>0</v>
      </c>
      <c r="AB463" s="6">
        <f>IF(AD463=21,J463,0)</f>
        <v>0</v>
      </c>
      <c r="AD463" s="14">
        <v>15</v>
      </c>
      <c r="AE463" s="14">
        <f>G463*1</f>
        <v>0</v>
      </c>
      <c r="AF463" s="14">
        <f>G463*(1-1)</f>
        <v>0</v>
      </c>
      <c r="AG463" s="11" t="s">
        <v>13</v>
      </c>
      <c r="AM463" s="14">
        <f>F463*AE463</f>
        <v>0</v>
      </c>
      <c r="AN463" s="14">
        <f>F463*AF463</f>
        <v>0</v>
      </c>
      <c r="AO463" s="15" t="s">
        <v>1701</v>
      </c>
      <c r="AP463" s="15" t="s">
        <v>1735</v>
      </c>
      <c r="AQ463" s="8" t="s">
        <v>1769</v>
      </c>
      <c r="AS463" s="14">
        <f>AM463+AN463</f>
        <v>0</v>
      </c>
      <c r="AT463" s="14">
        <f>G463/(100-AU463)*100</f>
        <v>0</v>
      </c>
      <c r="AU463" s="14">
        <v>0</v>
      </c>
      <c r="AV463" s="14">
        <f>L463</f>
        <v>0.085</v>
      </c>
    </row>
    <row r="464" spans="1:13" ht="12.75">
      <c r="A464" s="102"/>
      <c r="B464" s="102"/>
      <c r="C464" s="102"/>
      <c r="D464" s="103" t="s">
        <v>1170</v>
      </c>
      <c r="E464" s="102"/>
      <c r="F464" s="104">
        <v>0.17</v>
      </c>
      <c r="G464" s="102"/>
      <c r="H464" s="102"/>
      <c r="I464" s="102"/>
      <c r="J464" s="102"/>
      <c r="K464" s="102"/>
      <c r="L464" s="102"/>
      <c r="M464" s="102"/>
    </row>
    <row r="465" spans="1:48" ht="12.75">
      <c r="A465" s="105" t="s">
        <v>146</v>
      </c>
      <c r="B465" s="105" t="s">
        <v>406</v>
      </c>
      <c r="C465" s="105" t="s">
        <v>558</v>
      </c>
      <c r="D465" s="105" t="s">
        <v>1171</v>
      </c>
      <c r="E465" s="105" t="s">
        <v>1639</v>
      </c>
      <c r="F465" s="106">
        <v>0.05</v>
      </c>
      <c r="G465" s="106">
        <v>0</v>
      </c>
      <c r="H465" s="106">
        <f>F465*AE465</f>
        <v>0</v>
      </c>
      <c r="I465" s="106">
        <f>J465-H465</f>
        <v>0</v>
      </c>
      <c r="J465" s="106">
        <f>F465*G465</f>
        <v>0</v>
      </c>
      <c r="K465" s="106">
        <v>0.5</v>
      </c>
      <c r="L465" s="106">
        <f>F465*K465</f>
        <v>0.025</v>
      </c>
      <c r="M465" s="107" t="s">
        <v>1667</v>
      </c>
      <c r="P465" s="14">
        <f>IF(AG465="5",J465,0)</f>
        <v>0</v>
      </c>
      <c r="R465" s="14">
        <f>IF(AG465="1",H465,0)</f>
        <v>0</v>
      </c>
      <c r="S465" s="14">
        <f>IF(AG465="1",I465,0)</f>
        <v>0</v>
      </c>
      <c r="T465" s="14">
        <f>IF(AG465="7",H465,0)</f>
        <v>0</v>
      </c>
      <c r="U465" s="14">
        <f>IF(AG465="7",I465,0)</f>
        <v>0</v>
      </c>
      <c r="V465" s="14">
        <f>IF(AG465="2",H465,0)</f>
        <v>0</v>
      </c>
      <c r="W465" s="14">
        <f>IF(AG465="2",I465,0)</f>
        <v>0</v>
      </c>
      <c r="X465" s="14">
        <f>IF(AG465="0",J465,0)</f>
        <v>0</v>
      </c>
      <c r="Y465" s="8" t="s">
        <v>406</v>
      </c>
      <c r="Z465" s="6">
        <f>IF(AD465=0,J465,0)</f>
        <v>0</v>
      </c>
      <c r="AA465" s="6">
        <f>IF(AD465=15,J465,0)</f>
        <v>0</v>
      </c>
      <c r="AB465" s="6">
        <f>IF(AD465=21,J465,0)</f>
        <v>0</v>
      </c>
      <c r="AD465" s="14">
        <v>15</v>
      </c>
      <c r="AE465" s="14">
        <f>G465*1</f>
        <v>0</v>
      </c>
      <c r="AF465" s="14">
        <f>G465*(1-1)</f>
        <v>0</v>
      </c>
      <c r="AG465" s="11" t="s">
        <v>13</v>
      </c>
      <c r="AM465" s="14">
        <f>F465*AE465</f>
        <v>0</v>
      </c>
      <c r="AN465" s="14">
        <f>F465*AF465</f>
        <v>0</v>
      </c>
      <c r="AO465" s="15" t="s">
        <v>1701</v>
      </c>
      <c r="AP465" s="15" t="s">
        <v>1735</v>
      </c>
      <c r="AQ465" s="8" t="s">
        <v>1769</v>
      </c>
      <c r="AS465" s="14">
        <f>AM465+AN465</f>
        <v>0</v>
      </c>
      <c r="AT465" s="14">
        <f>G465/(100-AU465)*100</f>
        <v>0</v>
      </c>
      <c r="AU465" s="14">
        <v>0</v>
      </c>
      <c r="AV465" s="14">
        <f>L465</f>
        <v>0.025</v>
      </c>
    </row>
    <row r="466" spans="1:13" ht="12.75">
      <c r="A466" s="102"/>
      <c r="B466" s="102"/>
      <c r="C466" s="102"/>
      <c r="D466" s="103" t="s">
        <v>1172</v>
      </c>
      <c r="E466" s="102"/>
      <c r="F466" s="104">
        <v>0.05</v>
      </c>
      <c r="G466" s="102"/>
      <c r="H466" s="102"/>
      <c r="I466" s="102"/>
      <c r="J466" s="102"/>
      <c r="K466" s="102"/>
      <c r="L466" s="102"/>
      <c r="M466" s="102"/>
    </row>
    <row r="467" spans="1:48" ht="12.75">
      <c r="A467" s="99" t="s">
        <v>147</v>
      </c>
      <c r="B467" s="99" t="s">
        <v>406</v>
      </c>
      <c r="C467" s="99" t="s">
        <v>559</v>
      </c>
      <c r="D467" s="99" t="s">
        <v>1173</v>
      </c>
      <c r="E467" s="99" t="s">
        <v>1642</v>
      </c>
      <c r="F467" s="100">
        <v>6.04</v>
      </c>
      <c r="G467" s="100">
        <v>0</v>
      </c>
      <c r="H467" s="100">
        <f>F467*AE467</f>
        <v>0</v>
      </c>
      <c r="I467" s="100">
        <f>J467-H467</f>
        <v>0</v>
      </c>
      <c r="J467" s="100">
        <f>F467*G467</f>
        <v>0</v>
      </c>
      <c r="K467" s="100">
        <v>0</v>
      </c>
      <c r="L467" s="100">
        <f>F467*K467</f>
        <v>0</v>
      </c>
      <c r="M467" s="101" t="s">
        <v>1667</v>
      </c>
      <c r="P467" s="14">
        <f>IF(AG467="5",J467,0)</f>
        <v>0</v>
      </c>
      <c r="R467" s="14">
        <f>IF(AG467="1",H467,0)</f>
        <v>0</v>
      </c>
      <c r="S467" s="14">
        <f>IF(AG467="1",I467,0)</f>
        <v>0</v>
      </c>
      <c r="T467" s="14">
        <f>IF(AG467="7",H467,0)</f>
        <v>0</v>
      </c>
      <c r="U467" s="14">
        <f>IF(AG467="7",I467,0)</f>
        <v>0</v>
      </c>
      <c r="V467" s="14">
        <f>IF(AG467="2",H467,0)</f>
        <v>0</v>
      </c>
      <c r="W467" s="14">
        <f>IF(AG467="2",I467,0)</f>
        <v>0</v>
      </c>
      <c r="X467" s="14">
        <f>IF(AG467="0",J467,0)</f>
        <v>0</v>
      </c>
      <c r="Y467" s="8" t="s">
        <v>406</v>
      </c>
      <c r="Z467" s="5">
        <f>IF(AD467=0,J467,0)</f>
        <v>0</v>
      </c>
      <c r="AA467" s="5">
        <f>IF(AD467=15,J467,0)</f>
        <v>0</v>
      </c>
      <c r="AB467" s="5">
        <f>IF(AD467=21,J467,0)</f>
        <v>0</v>
      </c>
      <c r="AD467" s="14">
        <v>15</v>
      </c>
      <c r="AE467" s="14">
        <f>G467*0</f>
        <v>0</v>
      </c>
      <c r="AF467" s="14">
        <f>G467*(1-0)</f>
        <v>0</v>
      </c>
      <c r="AG467" s="10" t="s">
        <v>11</v>
      </c>
      <c r="AM467" s="14">
        <f>F467*AE467</f>
        <v>0</v>
      </c>
      <c r="AN467" s="14">
        <f>F467*AF467</f>
        <v>0</v>
      </c>
      <c r="AO467" s="15" t="s">
        <v>1701</v>
      </c>
      <c r="AP467" s="15" t="s">
        <v>1735</v>
      </c>
      <c r="AQ467" s="8" t="s">
        <v>1769</v>
      </c>
      <c r="AS467" s="14">
        <f>AM467+AN467</f>
        <v>0</v>
      </c>
      <c r="AT467" s="14">
        <f>G467/(100-AU467)*100</f>
        <v>0</v>
      </c>
      <c r="AU467" s="14">
        <v>0</v>
      </c>
      <c r="AV467" s="14">
        <f>L467</f>
        <v>0</v>
      </c>
    </row>
    <row r="468" spans="1:37" ht="12.75">
      <c r="A468" s="93"/>
      <c r="B468" s="94" t="s">
        <v>406</v>
      </c>
      <c r="C468" s="94" t="s">
        <v>560</v>
      </c>
      <c r="D468" s="95" t="s">
        <v>1174</v>
      </c>
      <c r="E468" s="96"/>
      <c r="F468" s="96"/>
      <c r="G468" s="96"/>
      <c r="H468" s="97">
        <f>SUM(H469:H479)</f>
        <v>0</v>
      </c>
      <c r="I468" s="97">
        <f>SUM(I469:I479)</f>
        <v>0</v>
      </c>
      <c r="J468" s="97">
        <f>H468+I468</f>
        <v>0</v>
      </c>
      <c r="K468" s="98"/>
      <c r="L468" s="97">
        <f>SUM(L469:L479)</f>
        <v>0.20478419999999997</v>
      </c>
      <c r="M468" s="98"/>
      <c r="Y468" s="8" t="s">
        <v>406</v>
      </c>
      <c r="AI468" s="16">
        <f>SUM(Z469:Z479)</f>
        <v>0</v>
      </c>
      <c r="AJ468" s="16">
        <f>SUM(AA469:AA479)</f>
        <v>0</v>
      </c>
      <c r="AK468" s="16">
        <f>SUM(AB469:AB479)</f>
        <v>0</v>
      </c>
    </row>
    <row r="469" spans="1:48" ht="12.75">
      <c r="A469" s="99" t="s">
        <v>148</v>
      </c>
      <c r="B469" s="99" t="s">
        <v>406</v>
      </c>
      <c r="C469" s="99" t="s">
        <v>561</v>
      </c>
      <c r="D469" s="99" t="s">
        <v>1175</v>
      </c>
      <c r="E469" s="99" t="s">
        <v>1643</v>
      </c>
      <c r="F469" s="100">
        <v>22.1</v>
      </c>
      <c r="G469" s="100">
        <v>0</v>
      </c>
      <c r="H469" s="100">
        <f aca="true" t="shared" si="0" ref="H469:H475">F469*AE469</f>
        <v>0</v>
      </c>
      <c r="I469" s="100">
        <f aca="true" t="shared" si="1" ref="I469:I475">J469-H469</f>
        <v>0</v>
      </c>
      <c r="J469" s="100">
        <f aca="true" t="shared" si="2" ref="J469:J475">F469*G469</f>
        <v>0</v>
      </c>
      <c r="K469" s="100">
        <v>0.00225</v>
      </c>
      <c r="L469" s="100">
        <f aca="true" t="shared" si="3" ref="L469:L475">F469*K469</f>
        <v>0.049725</v>
      </c>
      <c r="M469" s="101" t="s">
        <v>1667</v>
      </c>
      <c r="P469" s="14">
        <f aca="true" t="shared" si="4" ref="P469:P475">IF(AG469="5",J469,0)</f>
        <v>0</v>
      </c>
      <c r="R469" s="14">
        <f aca="true" t="shared" si="5" ref="R469:R475">IF(AG469="1",H469,0)</f>
        <v>0</v>
      </c>
      <c r="S469" s="14">
        <f aca="true" t="shared" si="6" ref="S469:S475">IF(AG469="1",I469,0)</f>
        <v>0</v>
      </c>
      <c r="T469" s="14">
        <f aca="true" t="shared" si="7" ref="T469:T475">IF(AG469="7",H469,0)</f>
        <v>0</v>
      </c>
      <c r="U469" s="14">
        <f aca="true" t="shared" si="8" ref="U469:U475">IF(AG469="7",I469,0)</f>
        <v>0</v>
      </c>
      <c r="V469" s="14">
        <f aca="true" t="shared" si="9" ref="V469:V475">IF(AG469="2",H469,0)</f>
        <v>0</v>
      </c>
      <c r="W469" s="14">
        <f aca="true" t="shared" si="10" ref="W469:W475">IF(AG469="2",I469,0)</f>
        <v>0</v>
      </c>
      <c r="X469" s="14">
        <f aca="true" t="shared" si="11" ref="X469:X475">IF(AG469="0",J469,0)</f>
        <v>0</v>
      </c>
      <c r="Y469" s="8" t="s">
        <v>406</v>
      </c>
      <c r="Z469" s="5">
        <f aca="true" t="shared" si="12" ref="Z469:Z475">IF(AD469=0,J469,0)</f>
        <v>0</v>
      </c>
      <c r="AA469" s="5">
        <f aca="true" t="shared" si="13" ref="AA469:AA475">IF(AD469=15,J469,0)</f>
        <v>0</v>
      </c>
      <c r="AB469" s="5">
        <f aca="true" t="shared" si="14" ref="AB469:AB475">IF(AD469=21,J469,0)</f>
        <v>0</v>
      </c>
      <c r="AD469" s="14">
        <v>15</v>
      </c>
      <c r="AE469" s="14">
        <f>G469*0.707470398277718</f>
        <v>0</v>
      </c>
      <c r="AF469" s="14">
        <f>G469*(1-0.707470398277718)</f>
        <v>0</v>
      </c>
      <c r="AG469" s="10" t="s">
        <v>13</v>
      </c>
      <c r="AM469" s="14">
        <f aca="true" t="shared" si="15" ref="AM469:AM475">F469*AE469</f>
        <v>0</v>
      </c>
      <c r="AN469" s="14">
        <f aca="true" t="shared" si="16" ref="AN469:AN475">F469*AF469</f>
        <v>0</v>
      </c>
      <c r="AO469" s="15" t="s">
        <v>1702</v>
      </c>
      <c r="AP469" s="15" t="s">
        <v>1735</v>
      </c>
      <c r="AQ469" s="8" t="s">
        <v>1769</v>
      </c>
      <c r="AS469" s="14">
        <f aca="true" t="shared" si="17" ref="AS469:AS475">AM469+AN469</f>
        <v>0</v>
      </c>
      <c r="AT469" s="14">
        <f aca="true" t="shared" si="18" ref="AT469:AT475">G469/(100-AU469)*100</f>
        <v>0</v>
      </c>
      <c r="AU469" s="14">
        <v>0</v>
      </c>
      <c r="AV469" s="14">
        <f aca="true" t="shared" si="19" ref="AV469:AV475">L469</f>
        <v>0.049725</v>
      </c>
    </row>
    <row r="470" spans="1:48" ht="12.75">
      <c r="A470" s="99" t="s">
        <v>149</v>
      </c>
      <c r="B470" s="99" t="s">
        <v>406</v>
      </c>
      <c r="C470" s="99" t="s">
        <v>562</v>
      </c>
      <c r="D470" s="99" t="s">
        <v>1176</v>
      </c>
      <c r="E470" s="99" t="s">
        <v>1643</v>
      </c>
      <c r="F470" s="100">
        <v>23.1</v>
      </c>
      <c r="G470" s="100">
        <v>0</v>
      </c>
      <c r="H470" s="100">
        <f t="shared" si="0"/>
        <v>0</v>
      </c>
      <c r="I470" s="100">
        <f t="shared" si="1"/>
        <v>0</v>
      </c>
      <c r="J470" s="100">
        <f t="shared" si="2"/>
        <v>0</v>
      </c>
      <c r="K470" s="100">
        <v>0.00312</v>
      </c>
      <c r="L470" s="100">
        <f t="shared" si="3"/>
        <v>0.072072</v>
      </c>
      <c r="M470" s="101" t="s">
        <v>1667</v>
      </c>
      <c r="P470" s="14">
        <f t="shared" si="4"/>
        <v>0</v>
      </c>
      <c r="R470" s="14">
        <f t="shared" si="5"/>
        <v>0</v>
      </c>
      <c r="S470" s="14">
        <f t="shared" si="6"/>
        <v>0</v>
      </c>
      <c r="T470" s="14">
        <f t="shared" si="7"/>
        <v>0</v>
      </c>
      <c r="U470" s="14">
        <f t="shared" si="8"/>
        <v>0</v>
      </c>
      <c r="V470" s="14">
        <f t="shared" si="9"/>
        <v>0</v>
      </c>
      <c r="W470" s="14">
        <f t="shared" si="10"/>
        <v>0</v>
      </c>
      <c r="X470" s="14">
        <f t="shared" si="11"/>
        <v>0</v>
      </c>
      <c r="Y470" s="8" t="s">
        <v>406</v>
      </c>
      <c r="Z470" s="5">
        <f t="shared" si="12"/>
        <v>0</v>
      </c>
      <c r="AA470" s="5">
        <f t="shared" si="13"/>
        <v>0</v>
      </c>
      <c r="AB470" s="5">
        <f t="shared" si="14"/>
        <v>0</v>
      </c>
      <c r="AD470" s="14">
        <v>15</v>
      </c>
      <c r="AE470" s="14">
        <f>G470*0.820759673892778</f>
        <v>0</v>
      </c>
      <c r="AF470" s="14">
        <f>G470*(1-0.820759673892778)</f>
        <v>0</v>
      </c>
      <c r="AG470" s="10" t="s">
        <v>13</v>
      </c>
      <c r="AM470" s="14">
        <f t="shared" si="15"/>
        <v>0</v>
      </c>
      <c r="AN470" s="14">
        <f t="shared" si="16"/>
        <v>0</v>
      </c>
      <c r="AO470" s="15" t="s">
        <v>1702</v>
      </c>
      <c r="AP470" s="15" t="s">
        <v>1735</v>
      </c>
      <c r="AQ470" s="8" t="s">
        <v>1769</v>
      </c>
      <c r="AS470" s="14">
        <f t="shared" si="17"/>
        <v>0</v>
      </c>
      <c r="AT470" s="14">
        <f t="shared" si="18"/>
        <v>0</v>
      </c>
      <c r="AU470" s="14">
        <v>0</v>
      </c>
      <c r="AV470" s="14">
        <f t="shared" si="19"/>
        <v>0.072072</v>
      </c>
    </row>
    <row r="471" spans="1:48" ht="12.75">
      <c r="A471" s="99" t="s">
        <v>150</v>
      </c>
      <c r="B471" s="99" t="s">
        <v>406</v>
      </c>
      <c r="C471" s="99" t="s">
        <v>563</v>
      </c>
      <c r="D471" s="99" t="s">
        <v>1177</v>
      </c>
      <c r="E471" s="99" t="s">
        <v>1643</v>
      </c>
      <c r="F471" s="100">
        <v>20.1</v>
      </c>
      <c r="G471" s="100">
        <v>0</v>
      </c>
      <c r="H471" s="100">
        <f t="shared" si="0"/>
        <v>0</v>
      </c>
      <c r="I471" s="100">
        <f t="shared" si="1"/>
        <v>0</v>
      </c>
      <c r="J471" s="100">
        <f t="shared" si="2"/>
        <v>0</v>
      </c>
      <c r="K471" s="100">
        <v>0.00242</v>
      </c>
      <c r="L471" s="100">
        <f t="shared" si="3"/>
        <v>0.048642</v>
      </c>
      <c r="M471" s="101" t="s">
        <v>1667</v>
      </c>
      <c r="P471" s="14">
        <f t="shared" si="4"/>
        <v>0</v>
      </c>
      <c r="R471" s="14">
        <f t="shared" si="5"/>
        <v>0</v>
      </c>
      <c r="S471" s="14">
        <f t="shared" si="6"/>
        <v>0</v>
      </c>
      <c r="T471" s="14">
        <f t="shared" si="7"/>
        <v>0</v>
      </c>
      <c r="U471" s="14">
        <f t="shared" si="8"/>
        <v>0</v>
      </c>
      <c r="V471" s="14">
        <f t="shared" si="9"/>
        <v>0</v>
      </c>
      <c r="W471" s="14">
        <f t="shared" si="10"/>
        <v>0</v>
      </c>
      <c r="X471" s="14">
        <f t="shared" si="11"/>
        <v>0</v>
      </c>
      <c r="Y471" s="8" t="s">
        <v>406</v>
      </c>
      <c r="Z471" s="5">
        <f t="shared" si="12"/>
        <v>0</v>
      </c>
      <c r="AA471" s="5">
        <f t="shared" si="13"/>
        <v>0</v>
      </c>
      <c r="AB471" s="5">
        <f t="shared" si="14"/>
        <v>0</v>
      </c>
      <c r="AD471" s="14">
        <v>15</v>
      </c>
      <c r="AE471" s="14">
        <f>G471*0.251802469135803</f>
        <v>0</v>
      </c>
      <c r="AF471" s="14">
        <f>G471*(1-0.251802469135803)</f>
        <v>0</v>
      </c>
      <c r="AG471" s="10" t="s">
        <v>13</v>
      </c>
      <c r="AM471" s="14">
        <f t="shared" si="15"/>
        <v>0</v>
      </c>
      <c r="AN471" s="14">
        <f t="shared" si="16"/>
        <v>0</v>
      </c>
      <c r="AO471" s="15" t="s">
        <v>1702</v>
      </c>
      <c r="AP471" s="15" t="s">
        <v>1735</v>
      </c>
      <c r="AQ471" s="8" t="s">
        <v>1769</v>
      </c>
      <c r="AS471" s="14">
        <f t="shared" si="17"/>
        <v>0</v>
      </c>
      <c r="AT471" s="14">
        <f t="shared" si="18"/>
        <v>0</v>
      </c>
      <c r="AU471" s="14">
        <v>0</v>
      </c>
      <c r="AV471" s="14">
        <f t="shared" si="19"/>
        <v>0.048642</v>
      </c>
    </row>
    <row r="472" spans="1:48" ht="12.75">
      <c r="A472" s="99" t="s">
        <v>151</v>
      </c>
      <c r="B472" s="99" t="s">
        <v>406</v>
      </c>
      <c r="C472" s="99" t="s">
        <v>563</v>
      </c>
      <c r="D472" s="99" t="s">
        <v>1177</v>
      </c>
      <c r="E472" s="99" t="s">
        <v>1643</v>
      </c>
      <c r="F472" s="100">
        <v>4.8</v>
      </c>
      <c r="G472" s="100">
        <v>0</v>
      </c>
      <c r="H472" s="100">
        <f t="shared" si="0"/>
        <v>0</v>
      </c>
      <c r="I472" s="100">
        <f t="shared" si="1"/>
        <v>0</v>
      </c>
      <c r="J472" s="100">
        <f t="shared" si="2"/>
        <v>0</v>
      </c>
      <c r="K472" s="100">
        <v>0.00242</v>
      </c>
      <c r="L472" s="100">
        <f t="shared" si="3"/>
        <v>0.011616</v>
      </c>
      <c r="M472" s="101" t="s">
        <v>1667</v>
      </c>
      <c r="P472" s="14">
        <f t="shared" si="4"/>
        <v>0</v>
      </c>
      <c r="R472" s="14">
        <f t="shared" si="5"/>
        <v>0</v>
      </c>
      <c r="S472" s="14">
        <f t="shared" si="6"/>
        <v>0</v>
      </c>
      <c r="T472" s="14">
        <f t="shared" si="7"/>
        <v>0</v>
      </c>
      <c r="U472" s="14">
        <f t="shared" si="8"/>
        <v>0</v>
      </c>
      <c r="V472" s="14">
        <f t="shared" si="9"/>
        <v>0</v>
      </c>
      <c r="W472" s="14">
        <f t="shared" si="10"/>
        <v>0</v>
      </c>
      <c r="X472" s="14">
        <f t="shared" si="11"/>
        <v>0</v>
      </c>
      <c r="Y472" s="8" t="s">
        <v>406</v>
      </c>
      <c r="Z472" s="5">
        <f t="shared" si="12"/>
        <v>0</v>
      </c>
      <c r="AA472" s="5">
        <f t="shared" si="13"/>
        <v>0</v>
      </c>
      <c r="AB472" s="5">
        <f t="shared" si="14"/>
        <v>0</v>
      </c>
      <c r="AD472" s="14">
        <v>15</v>
      </c>
      <c r="AE472" s="14">
        <f>G472*0.251802469135803</f>
        <v>0</v>
      </c>
      <c r="AF472" s="14">
        <f>G472*(1-0.251802469135803)</f>
        <v>0</v>
      </c>
      <c r="AG472" s="10" t="s">
        <v>13</v>
      </c>
      <c r="AM472" s="14">
        <f t="shared" si="15"/>
        <v>0</v>
      </c>
      <c r="AN472" s="14">
        <f t="shared" si="16"/>
        <v>0</v>
      </c>
      <c r="AO472" s="15" t="s">
        <v>1702</v>
      </c>
      <c r="AP472" s="15" t="s">
        <v>1735</v>
      </c>
      <c r="AQ472" s="8" t="s">
        <v>1769</v>
      </c>
      <c r="AS472" s="14">
        <f t="shared" si="17"/>
        <v>0</v>
      </c>
      <c r="AT472" s="14">
        <f t="shared" si="18"/>
        <v>0</v>
      </c>
      <c r="AU472" s="14">
        <v>0</v>
      </c>
      <c r="AV472" s="14">
        <f t="shared" si="19"/>
        <v>0.011616</v>
      </c>
    </row>
    <row r="473" spans="1:48" ht="12.75">
      <c r="A473" s="99" t="s">
        <v>152</v>
      </c>
      <c r="B473" s="99" t="s">
        <v>406</v>
      </c>
      <c r="C473" s="99" t="s">
        <v>564</v>
      </c>
      <c r="D473" s="99" t="s">
        <v>1178</v>
      </c>
      <c r="E473" s="99" t="s">
        <v>1641</v>
      </c>
      <c r="F473" s="100">
        <v>4</v>
      </c>
      <c r="G473" s="100">
        <v>0</v>
      </c>
      <c r="H473" s="100">
        <f t="shared" si="0"/>
        <v>0</v>
      </c>
      <c r="I473" s="100">
        <f t="shared" si="1"/>
        <v>0</v>
      </c>
      <c r="J473" s="100">
        <f t="shared" si="2"/>
        <v>0</v>
      </c>
      <c r="K473" s="100">
        <v>0.0004</v>
      </c>
      <c r="L473" s="100">
        <f t="shared" si="3"/>
        <v>0.0016</v>
      </c>
      <c r="M473" s="101" t="s">
        <v>1667</v>
      </c>
      <c r="P473" s="14">
        <f t="shared" si="4"/>
        <v>0</v>
      </c>
      <c r="R473" s="14">
        <f t="shared" si="5"/>
        <v>0</v>
      </c>
      <c r="S473" s="14">
        <f t="shared" si="6"/>
        <v>0</v>
      </c>
      <c r="T473" s="14">
        <f t="shared" si="7"/>
        <v>0</v>
      </c>
      <c r="U473" s="14">
        <f t="shared" si="8"/>
        <v>0</v>
      </c>
      <c r="V473" s="14">
        <f t="shared" si="9"/>
        <v>0</v>
      </c>
      <c r="W473" s="14">
        <f t="shared" si="10"/>
        <v>0</v>
      </c>
      <c r="X473" s="14">
        <f t="shared" si="11"/>
        <v>0</v>
      </c>
      <c r="Y473" s="8" t="s">
        <v>406</v>
      </c>
      <c r="Z473" s="5">
        <f t="shared" si="12"/>
        <v>0</v>
      </c>
      <c r="AA473" s="5">
        <f t="shared" si="13"/>
        <v>0</v>
      </c>
      <c r="AB473" s="5">
        <f t="shared" si="14"/>
        <v>0</v>
      </c>
      <c r="AD473" s="14">
        <v>15</v>
      </c>
      <c r="AE473" s="14">
        <f>G473*0.588739290085679</f>
        <v>0</v>
      </c>
      <c r="AF473" s="14">
        <f>G473*(1-0.588739290085679)</f>
        <v>0</v>
      </c>
      <c r="AG473" s="10" t="s">
        <v>13</v>
      </c>
      <c r="AM473" s="14">
        <f t="shared" si="15"/>
        <v>0</v>
      </c>
      <c r="AN473" s="14">
        <f t="shared" si="16"/>
        <v>0</v>
      </c>
      <c r="AO473" s="15" t="s">
        <v>1702</v>
      </c>
      <c r="AP473" s="15" t="s">
        <v>1735</v>
      </c>
      <c r="AQ473" s="8" t="s">
        <v>1769</v>
      </c>
      <c r="AS473" s="14">
        <f t="shared" si="17"/>
        <v>0</v>
      </c>
      <c r="AT473" s="14">
        <f t="shared" si="18"/>
        <v>0</v>
      </c>
      <c r="AU473" s="14">
        <v>0</v>
      </c>
      <c r="AV473" s="14">
        <f t="shared" si="19"/>
        <v>0.0016</v>
      </c>
    </row>
    <row r="474" spans="1:48" ht="12.75">
      <c r="A474" s="99" t="s">
        <v>153</v>
      </c>
      <c r="B474" s="99" t="s">
        <v>406</v>
      </c>
      <c r="C474" s="99" t="s">
        <v>565</v>
      </c>
      <c r="D474" s="99" t="s">
        <v>1179</v>
      </c>
      <c r="E474" s="99" t="s">
        <v>1641</v>
      </c>
      <c r="F474" s="100">
        <v>1</v>
      </c>
      <c r="G474" s="100">
        <v>0</v>
      </c>
      <c r="H474" s="100">
        <f t="shared" si="0"/>
        <v>0</v>
      </c>
      <c r="I474" s="100">
        <f t="shared" si="1"/>
        <v>0</v>
      </c>
      <c r="J474" s="100">
        <f t="shared" si="2"/>
        <v>0</v>
      </c>
      <c r="K474" s="100">
        <v>0.00131</v>
      </c>
      <c r="L474" s="100">
        <f t="shared" si="3"/>
        <v>0.00131</v>
      </c>
      <c r="M474" s="101" t="s">
        <v>1667</v>
      </c>
      <c r="P474" s="14">
        <f t="shared" si="4"/>
        <v>0</v>
      </c>
      <c r="R474" s="14">
        <f t="shared" si="5"/>
        <v>0</v>
      </c>
      <c r="S474" s="14">
        <f t="shared" si="6"/>
        <v>0</v>
      </c>
      <c r="T474" s="14">
        <f t="shared" si="7"/>
        <v>0</v>
      </c>
      <c r="U474" s="14">
        <f t="shared" si="8"/>
        <v>0</v>
      </c>
      <c r="V474" s="14">
        <f t="shared" si="9"/>
        <v>0</v>
      </c>
      <c r="W474" s="14">
        <f t="shared" si="10"/>
        <v>0</v>
      </c>
      <c r="X474" s="14">
        <f t="shared" si="11"/>
        <v>0</v>
      </c>
      <c r="Y474" s="8" t="s">
        <v>406</v>
      </c>
      <c r="Z474" s="5">
        <f t="shared" si="12"/>
        <v>0</v>
      </c>
      <c r="AA474" s="5">
        <f t="shared" si="13"/>
        <v>0</v>
      </c>
      <c r="AB474" s="5">
        <f t="shared" si="14"/>
        <v>0</v>
      </c>
      <c r="AD474" s="14">
        <v>15</v>
      </c>
      <c r="AE474" s="14">
        <f>G474*0.886725755995829</f>
        <v>0</v>
      </c>
      <c r="AF474" s="14">
        <f>G474*(1-0.886725755995829)</f>
        <v>0</v>
      </c>
      <c r="AG474" s="10" t="s">
        <v>13</v>
      </c>
      <c r="AM474" s="14">
        <f t="shared" si="15"/>
        <v>0</v>
      </c>
      <c r="AN474" s="14">
        <f t="shared" si="16"/>
        <v>0</v>
      </c>
      <c r="AO474" s="15" t="s">
        <v>1702</v>
      </c>
      <c r="AP474" s="15" t="s">
        <v>1735</v>
      </c>
      <c r="AQ474" s="8" t="s">
        <v>1769</v>
      </c>
      <c r="AS474" s="14">
        <f t="shared" si="17"/>
        <v>0</v>
      </c>
      <c r="AT474" s="14">
        <f t="shared" si="18"/>
        <v>0</v>
      </c>
      <c r="AU474" s="14">
        <v>0</v>
      </c>
      <c r="AV474" s="14">
        <f t="shared" si="19"/>
        <v>0.00131</v>
      </c>
    </row>
    <row r="475" spans="1:48" ht="12.75">
      <c r="A475" s="99" t="s">
        <v>154</v>
      </c>
      <c r="B475" s="99" t="s">
        <v>406</v>
      </c>
      <c r="C475" s="99" t="s">
        <v>566</v>
      </c>
      <c r="D475" s="99" t="s">
        <v>1180</v>
      </c>
      <c r="E475" s="99" t="s">
        <v>1643</v>
      </c>
      <c r="F475" s="100">
        <v>9.16</v>
      </c>
      <c r="G475" s="100">
        <v>0</v>
      </c>
      <c r="H475" s="100">
        <f t="shared" si="0"/>
        <v>0</v>
      </c>
      <c r="I475" s="100">
        <f t="shared" si="1"/>
        <v>0</v>
      </c>
      <c r="J475" s="100">
        <f t="shared" si="2"/>
        <v>0</v>
      </c>
      <c r="K475" s="100">
        <v>0.00212</v>
      </c>
      <c r="L475" s="100">
        <f t="shared" si="3"/>
        <v>0.0194192</v>
      </c>
      <c r="M475" s="101" t="s">
        <v>1667</v>
      </c>
      <c r="P475" s="14">
        <f t="shared" si="4"/>
        <v>0</v>
      </c>
      <c r="R475" s="14">
        <f t="shared" si="5"/>
        <v>0</v>
      </c>
      <c r="S475" s="14">
        <f t="shared" si="6"/>
        <v>0</v>
      </c>
      <c r="T475" s="14">
        <f t="shared" si="7"/>
        <v>0</v>
      </c>
      <c r="U475" s="14">
        <f t="shared" si="8"/>
        <v>0</v>
      </c>
      <c r="V475" s="14">
        <f t="shared" si="9"/>
        <v>0</v>
      </c>
      <c r="W475" s="14">
        <f t="shared" si="10"/>
        <v>0</v>
      </c>
      <c r="X475" s="14">
        <f t="shared" si="11"/>
        <v>0</v>
      </c>
      <c r="Y475" s="8" t="s">
        <v>406</v>
      </c>
      <c r="Z475" s="5">
        <f t="shared" si="12"/>
        <v>0</v>
      </c>
      <c r="AA475" s="5">
        <f t="shared" si="13"/>
        <v>0</v>
      </c>
      <c r="AB475" s="5">
        <f t="shared" si="14"/>
        <v>0</v>
      </c>
      <c r="AD475" s="14">
        <v>15</v>
      </c>
      <c r="AE475" s="14">
        <f>G475*0.261876046901172</f>
        <v>0</v>
      </c>
      <c r="AF475" s="14">
        <f>G475*(1-0.261876046901172)</f>
        <v>0</v>
      </c>
      <c r="AG475" s="10" t="s">
        <v>13</v>
      </c>
      <c r="AM475" s="14">
        <f t="shared" si="15"/>
        <v>0</v>
      </c>
      <c r="AN475" s="14">
        <f t="shared" si="16"/>
        <v>0</v>
      </c>
      <c r="AO475" s="15" t="s">
        <v>1702</v>
      </c>
      <c r="AP475" s="15" t="s">
        <v>1735</v>
      </c>
      <c r="AQ475" s="8" t="s">
        <v>1769</v>
      </c>
      <c r="AS475" s="14">
        <f t="shared" si="17"/>
        <v>0</v>
      </c>
      <c r="AT475" s="14">
        <f t="shared" si="18"/>
        <v>0</v>
      </c>
      <c r="AU475" s="14">
        <v>0</v>
      </c>
      <c r="AV475" s="14">
        <f t="shared" si="19"/>
        <v>0.0194192</v>
      </c>
    </row>
    <row r="476" spans="1:13" ht="12.75">
      <c r="A476" s="102"/>
      <c r="B476" s="102"/>
      <c r="C476" s="102"/>
      <c r="D476" s="103" t="s">
        <v>1181</v>
      </c>
      <c r="E476" s="102"/>
      <c r="F476" s="104">
        <v>9.16</v>
      </c>
      <c r="G476" s="102"/>
      <c r="H476" s="102"/>
      <c r="I476" s="102"/>
      <c r="J476" s="102"/>
      <c r="K476" s="102"/>
      <c r="L476" s="102"/>
      <c r="M476" s="102"/>
    </row>
    <row r="477" spans="1:48" ht="12.75">
      <c r="A477" s="99" t="s">
        <v>155</v>
      </c>
      <c r="B477" s="99" t="s">
        <v>406</v>
      </c>
      <c r="C477" s="99" t="s">
        <v>567</v>
      </c>
      <c r="D477" s="99" t="s">
        <v>1182</v>
      </c>
      <c r="E477" s="99" t="s">
        <v>1644</v>
      </c>
      <c r="F477" s="100">
        <v>1</v>
      </c>
      <c r="G477" s="100">
        <v>0</v>
      </c>
      <c r="H477" s="100">
        <f>F477*AE477</f>
        <v>0</v>
      </c>
      <c r="I477" s="100">
        <f>J477-H477</f>
        <v>0</v>
      </c>
      <c r="J477" s="100">
        <f>F477*G477</f>
        <v>0</v>
      </c>
      <c r="K477" s="100">
        <v>0.0004</v>
      </c>
      <c r="L477" s="100">
        <f>F477*K477</f>
        <v>0.0004</v>
      </c>
      <c r="M477" s="101" t="s">
        <v>1669</v>
      </c>
      <c r="P477" s="14">
        <f>IF(AG477="5",J477,0)</f>
        <v>0</v>
      </c>
      <c r="R477" s="14">
        <f>IF(AG477="1",H477,0)</f>
        <v>0</v>
      </c>
      <c r="S477" s="14">
        <f>IF(AG477="1",I477,0)</f>
        <v>0</v>
      </c>
      <c r="T477" s="14">
        <f>IF(AG477="7",H477,0)</f>
        <v>0</v>
      </c>
      <c r="U477" s="14">
        <f>IF(AG477="7",I477,0)</f>
        <v>0</v>
      </c>
      <c r="V477" s="14">
        <f>IF(AG477="2",H477,0)</f>
        <v>0</v>
      </c>
      <c r="W477" s="14">
        <f>IF(AG477="2",I477,0)</f>
        <v>0</v>
      </c>
      <c r="X477" s="14">
        <f>IF(AG477="0",J477,0)</f>
        <v>0</v>
      </c>
      <c r="Y477" s="8" t="s">
        <v>406</v>
      </c>
      <c r="Z477" s="5">
        <f>IF(AD477=0,J477,0)</f>
        <v>0</v>
      </c>
      <c r="AA477" s="5">
        <f>IF(AD477=15,J477,0)</f>
        <v>0</v>
      </c>
      <c r="AB477" s="5">
        <f>IF(AD477=21,J477,0)</f>
        <v>0</v>
      </c>
      <c r="AD477" s="14">
        <v>15</v>
      </c>
      <c r="AE477" s="14">
        <f>G477*0.696331081081081</f>
        <v>0</v>
      </c>
      <c r="AF477" s="14">
        <f>G477*(1-0.696331081081081)</f>
        <v>0</v>
      </c>
      <c r="AG477" s="10" t="s">
        <v>13</v>
      </c>
      <c r="AM477" s="14">
        <f>F477*AE477</f>
        <v>0</v>
      </c>
      <c r="AN477" s="14">
        <f>F477*AF477</f>
        <v>0</v>
      </c>
      <c r="AO477" s="15" t="s">
        <v>1702</v>
      </c>
      <c r="AP477" s="15" t="s">
        <v>1735</v>
      </c>
      <c r="AQ477" s="8" t="s">
        <v>1769</v>
      </c>
      <c r="AS477" s="14">
        <f>AM477+AN477</f>
        <v>0</v>
      </c>
      <c r="AT477" s="14">
        <f>G477/(100-AU477)*100</f>
        <v>0</v>
      </c>
      <c r="AU477" s="14">
        <v>0</v>
      </c>
      <c r="AV477" s="14">
        <f>L477</f>
        <v>0.0004</v>
      </c>
    </row>
    <row r="478" spans="1:48" ht="12.75">
      <c r="A478" s="99" t="s">
        <v>156</v>
      </c>
      <c r="B478" s="99" t="s">
        <v>406</v>
      </c>
      <c r="C478" s="99" t="s">
        <v>568</v>
      </c>
      <c r="D478" s="99" t="s">
        <v>1183</v>
      </c>
      <c r="E478" s="99"/>
      <c r="F478" s="100">
        <v>1</v>
      </c>
      <c r="G478" s="100">
        <v>0</v>
      </c>
      <c r="H478" s="100">
        <f>F478*AE478</f>
        <v>0</v>
      </c>
      <c r="I478" s="100">
        <f>J478-H478</f>
        <v>0</v>
      </c>
      <c r="J478" s="100">
        <f>F478*G478</f>
        <v>0</v>
      </c>
      <c r="K478" s="100">
        <v>0</v>
      </c>
      <c r="L478" s="100">
        <f>F478*K478</f>
        <v>0</v>
      </c>
      <c r="M478" s="101" t="s">
        <v>1667</v>
      </c>
      <c r="P478" s="14">
        <f>IF(AG478="5",J478,0)</f>
        <v>0</v>
      </c>
      <c r="R478" s="14">
        <f>IF(AG478="1",H478,0)</f>
        <v>0</v>
      </c>
      <c r="S478" s="14">
        <f>IF(AG478="1",I478,0)</f>
        <v>0</v>
      </c>
      <c r="T478" s="14">
        <f>IF(AG478="7",H478,0)</f>
        <v>0</v>
      </c>
      <c r="U478" s="14">
        <f>IF(AG478="7",I478,0)</f>
        <v>0</v>
      </c>
      <c r="V478" s="14">
        <f>IF(AG478="2",H478,0)</f>
        <v>0</v>
      </c>
      <c r="W478" s="14">
        <f>IF(AG478="2",I478,0)</f>
        <v>0</v>
      </c>
      <c r="X478" s="14">
        <f>IF(AG478="0",J478,0)</f>
        <v>0</v>
      </c>
      <c r="Y478" s="8" t="s">
        <v>406</v>
      </c>
      <c r="Z478" s="5">
        <f>IF(AD478=0,J478,0)</f>
        <v>0</v>
      </c>
      <c r="AA478" s="5">
        <f>IF(AD478=15,J478,0)</f>
        <v>0</v>
      </c>
      <c r="AB478" s="5">
        <f>IF(AD478=21,J478,0)</f>
        <v>0</v>
      </c>
      <c r="AD478" s="14">
        <v>15</v>
      </c>
      <c r="AE478" s="14">
        <f>G478*0</f>
        <v>0</v>
      </c>
      <c r="AF478" s="14">
        <f>G478*(1-0)</f>
        <v>0</v>
      </c>
      <c r="AG478" s="10" t="s">
        <v>13</v>
      </c>
      <c r="AM478" s="14">
        <f>F478*AE478</f>
        <v>0</v>
      </c>
      <c r="AN478" s="14">
        <f>F478*AF478</f>
        <v>0</v>
      </c>
      <c r="AO478" s="15" t="s">
        <v>1702</v>
      </c>
      <c r="AP478" s="15" t="s">
        <v>1735</v>
      </c>
      <c r="AQ478" s="8" t="s">
        <v>1769</v>
      </c>
      <c r="AS478" s="14">
        <f>AM478+AN478</f>
        <v>0</v>
      </c>
      <c r="AT478" s="14">
        <f>G478/(100-AU478)*100</f>
        <v>0</v>
      </c>
      <c r="AU478" s="14">
        <v>0</v>
      </c>
      <c r="AV478" s="14">
        <f>L478</f>
        <v>0</v>
      </c>
    </row>
    <row r="479" spans="1:48" ht="12.75">
      <c r="A479" s="99" t="s">
        <v>157</v>
      </c>
      <c r="B479" s="99" t="s">
        <v>406</v>
      </c>
      <c r="C479" s="99" t="s">
        <v>569</v>
      </c>
      <c r="D479" s="99" t="s">
        <v>1184</v>
      </c>
      <c r="E479" s="99" t="s">
        <v>1642</v>
      </c>
      <c r="F479" s="100">
        <v>0.2</v>
      </c>
      <c r="G479" s="100">
        <v>0</v>
      </c>
      <c r="H479" s="100">
        <f>F479*AE479</f>
        <v>0</v>
      </c>
      <c r="I479" s="100">
        <f>J479-H479</f>
        <v>0</v>
      </c>
      <c r="J479" s="100">
        <f>F479*G479</f>
        <v>0</v>
      </c>
      <c r="K479" s="100">
        <v>0</v>
      </c>
      <c r="L479" s="100">
        <f>F479*K479</f>
        <v>0</v>
      </c>
      <c r="M479" s="101" t="s">
        <v>1667</v>
      </c>
      <c r="P479" s="14">
        <f>IF(AG479="5",J479,0)</f>
        <v>0</v>
      </c>
      <c r="R479" s="14">
        <f>IF(AG479="1",H479,0)</f>
        <v>0</v>
      </c>
      <c r="S479" s="14">
        <f>IF(AG479="1",I479,0)</f>
        <v>0</v>
      </c>
      <c r="T479" s="14">
        <f>IF(AG479="7",H479,0)</f>
        <v>0</v>
      </c>
      <c r="U479" s="14">
        <f>IF(AG479="7",I479,0)</f>
        <v>0</v>
      </c>
      <c r="V479" s="14">
        <f>IF(AG479="2",H479,0)</f>
        <v>0</v>
      </c>
      <c r="W479" s="14">
        <f>IF(AG479="2",I479,0)</f>
        <v>0</v>
      </c>
      <c r="X479" s="14">
        <f>IF(AG479="0",J479,0)</f>
        <v>0</v>
      </c>
      <c r="Y479" s="8" t="s">
        <v>406</v>
      </c>
      <c r="Z479" s="5">
        <f>IF(AD479=0,J479,0)</f>
        <v>0</v>
      </c>
      <c r="AA479" s="5">
        <f>IF(AD479=15,J479,0)</f>
        <v>0</v>
      </c>
      <c r="AB479" s="5">
        <f>IF(AD479=21,J479,0)</f>
        <v>0</v>
      </c>
      <c r="AD479" s="14">
        <v>15</v>
      </c>
      <c r="AE479" s="14">
        <f>G479*0</f>
        <v>0</v>
      </c>
      <c r="AF479" s="14">
        <f>G479*(1-0)</f>
        <v>0</v>
      </c>
      <c r="AG479" s="10" t="s">
        <v>11</v>
      </c>
      <c r="AM479" s="14">
        <f>F479*AE479</f>
        <v>0</v>
      </c>
      <c r="AN479" s="14">
        <f>F479*AF479</f>
        <v>0</v>
      </c>
      <c r="AO479" s="15" t="s">
        <v>1702</v>
      </c>
      <c r="AP479" s="15" t="s">
        <v>1735</v>
      </c>
      <c r="AQ479" s="8" t="s">
        <v>1769</v>
      </c>
      <c r="AS479" s="14">
        <f>AM479+AN479</f>
        <v>0</v>
      </c>
      <c r="AT479" s="14">
        <f>G479/(100-AU479)*100</f>
        <v>0</v>
      </c>
      <c r="AU479" s="14">
        <v>0</v>
      </c>
      <c r="AV479" s="14">
        <f>L479</f>
        <v>0</v>
      </c>
    </row>
    <row r="480" spans="1:37" ht="12.75">
      <c r="A480" s="93"/>
      <c r="B480" s="94" t="s">
        <v>406</v>
      </c>
      <c r="C480" s="94" t="s">
        <v>570</v>
      </c>
      <c r="D480" s="95" t="s">
        <v>1185</v>
      </c>
      <c r="E480" s="96"/>
      <c r="F480" s="96"/>
      <c r="G480" s="96"/>
      <c r="H480" s="97">
        <f>SUM(H481:H502)</f>
        <v>0</v>
      </c>
      <c r="I480" s="97">
        <f>SUM(I481:I502)</f>
        <v>0</v>
      </c>
      <c r="J480" s="97">
        <f>H480+I480</f>
        <v>0</v>
      </c>
      <c r="K480" s="98"/>
      <c r="L480" s="97">
        <f>SUM(L481:L502)</f>
        <v>6.405873299999999</v>
      </c>
      <c r="M480" s="98"/>
      <c r="Y480" s="8" t="s">
        <v>406</v>
      </c>
      <c r="AI480" s="16">
        <f>SUM(Z481:Z502)</f>
        <v>0</v>
      </c>
      <c r="AJ480" s="16">
        <f>SUM(AA481:AA502)</f>
        <v>0</v>
      </c>
      <c r="AK480" s="16">
        <f>SUM(AB481:AB502)</f>
        <v>0</v>
      </c>
    </row>
    <row r="481" spans="1:48" ht="12.75">
      <c r="A481" s="99" t="s">
        <v>158</v>
      </c>
      <c r="B481" s="99" t="s">
        <v>406</v>
      </c>
      <c r="C481" s="99" t="s">
        <v>571</v>
      </c>
      <c r="D481" s="99" t="s">
        <v>1186</v>
      </c>
      <c r="E481" s="99" t="s">
        <v>1640</v>
      </c>
      <c r="F481" s="100">
        <v>114.72</v>
      </c>
      <c r="G481" s="100">
        <v>0</v>
      </c>
      <c r="H481" s="100">
        <f>F481*AE481</f>
        <v>0</v>
      </c>
      <c r="I481" s="100">
        <f>J481-H481</f>
        <v>0</v>
      </c>
      <c r="J481" s="100">
        <f>F481*G481</f>
        <v>0</v>
      </c>
      <c r="K481" s="100">
        <v>0.00019</v>
      </c>
      <c r="L481" s="100">
        <f>F481*K481</f>
        <v>0.0217968</v>
      </c>
      <c r="M481" s="101" t="s">
        <v>1667</v>
      </c>
      <c r="P481" s="14">
        <f>IF(AG481="5",J481,0)</f>
        <v>0</v>
      </c>
      <c r="R481" s="14">
        <f>IF(AG481="1",H481,0)</f>
        <v>0</v>
      </c>
      <c r="S481" s="14">
        <f>IF(AG481="1",I481,0)</f>
        <v>0</v>
      </c>
      <c r="T481" s="14">
        <f>IF(AG481="7",H481,0)</f>
        <v>0</v>
      </c>
      <c r="U481" s="14">
        <f>IF(AG481="7",I481,0)</f>
        <v>0</v>
      </c>
      <c r="V481" s="14">
        <f>IF(AG481="2",H481,0)</f>
        <v>0</v>
      </c>
      <c r="W481" s="14">
        <f>IF(AG481="2",I481,0)</f>
        <v>0</v>
      </c>
      <c r="X481" s="14">
        <f>IF(AG481="0",J481,0)</f>
        <v>0</v>
      </c>
      <c r="Y481" s="8" t="s">
        <v>406</v>
      </c>
      <c r="Z481" s="5">
        <f>IF(AD481=0,J481,0)</f>
        <v>0</v>
      </c>
      <c r="AA481" s="5">
        <f>IF(AD481=15,J481,0)</f>
        <v>0</v>
      </c>
      <c r="AB481" s="5">
        <f>IF(AD481=21,J481,0)</f>
        <v>0</v>
      </c>
      <c r="AD481" s="14">
        <v>15</v>
      </c>
      <c r="AE481" s="14">
        <f>G481*0.652820897120223</f>
        <v>0</v>
      </c>
      <c r="AF481" s="14">
        <f>G481*(1-0.652820897120223)</f>
        <v>0</v>
      </c>
      <c r="AG481" s="10" t="s">
        <v>13</v>
      </c>
      <c r="AM481" s="14">
        <f>F481*AE481</f>
        <v>0</v>
      </c>
      <c r="AN481" s="14">
        <f>F481*AF481</f>
        <v>0</v>
      </c>
      <c r="AO481" s="15" t="s">
        <v>1703</v>
      </c>
      <c r="AP481" s="15" t="s">
        <v>1735</v>
      </c>
      <c r="AQ481" s="8" t="s">
        <v>1769</v>
      </c>
      <c r="AS481" s="14">
        <f>AM481+AN481</f>
        <v>0</v>
      </c>
      <c r="AT481" s="14">
        <f>G481/(100-AU481)*100</f>
        <v>0</v>
      </c>
      <c r="AU481" s="14">
        <v>0</v>
      </c>
      <c r="AV481" s="14">
        <f>L481</f>
        <v>0.0217968</v>
      </c>
    </row>
    <row r="482" spans="1:13" ht="12.75">
      <c r="A482" s="102"/>
      <c r="B482" s="102"/>
      <c r="C482" s="102"/>
      <c r="D482" s="103" t="s">
        <v>1187</v>
      </c>
      <c r="E482" s="102"/>
      <c r="F482" s="104">
        <v>114.72</v>
      </c>
      <c r="G482" s="102"/>
      <c r="H482" s="102"/>
      <c r="I482" s="102"/>
      <c r="J482" s="102"/>
      <c r="K482" s="102"/>
      <c r="L482" s="102"/>
      <c r="M482" s="102"/>
    </row>
    <row r="483" spans="1:48" ht="12.75">
      <c r="A483" s="99" t="s">
        <v>159</v>
      </c>
      <c r="B483" s="99" t="s">
        <v>406</v>
      </c>
      <c r="C483" s="99" t="s">
        <v>572</v>
      </c>
      <c r="D483" s="99" t="s">
        <v>1188</v>
      </c>
      <c r="E483" s="99" t="s">
        <v>1640</v>
      </c>
      <c r="F483" s="100">
        <v>114.72</v>
      </c>
      <c r="G483" s="100">
        <v>0</v>
      </c>
      <c r="H483" s="100">
        <f>F483*AE483</f>
        <v>0</v>
      </c>
      <c r="I483" s="100">
        <f>J483-H483</f>
        <v>0</v>
      </c>
      <c r="J483" s="100">
        <f>F483*G483</f>
        <v>0</v>
      </c>
      <c r="K483" s="100">
        <v>0.04807</v>
      </c>
      <c r="L483" s="100">
        <f>F483*K483</f>
        <v>5.5145904</v>
      </c>
      <c r="M483" s="101" t="s">
        <v>1667</v>
      </c>
      <c r="P483" s="14">
        <f>IF(AG483="5",J483,0)</f>
        <v>0</v>
      </c>
      <c r="R483" s="14">
        <f>IF(AG483="1",H483,0)</f>
        <v>0</v>
      </c>
      <c r="S483" s="14">
        <f>IF(AG483="1",I483,0)</f>
        <v>0</v>
      </c>
      <c r="T483" s="14">
        <f>IF(AG483="7",H483,0)</f>
        <v>0</v>
      </c>
      <c r="U483" s="14">
        <f>IF(AG483="7",I483,0)</f>
        <v>0</v>
      </c>
      <c r="V483" s="14">
        <f>IF(AG483="2",H483,0)</f>
        <v>0</v>
      </c>
      <c r="W483" s="14">
        <f>IF(AG483="2",I483,0)</f>
        <v>0</v>
      </c>
      <c r="X483" s="14">
        <f>IF(AG483="0",J483,0)</f>
        <v>0</v>
      </c>
      <c r="Y483" s="8" t="s">
        <v>406</v>
      </c>
      <c r="Z483" s="5">
        <f>IF(AD483=0,J483,0)</f>
        <v>0</v>
      </c>
      <c r="AA483" s="5">
        <f>IF(AD483=15,J483,0)</f>
        <v>0</v>
      </c>
      <c r="AB483" s="5">
        <f>IF(AD483=21,J483,0)</f>
        <v>0</v>
      </c>
      <c r="AD483" s="14">
        <v>15</v>
      </c>
      <c r="AE483" s="14">
        <f>G483*0.723878087854275</f>
        <v>0</v>
      </c>
      <c r="AF483" s="14">
        <f>G483*(1-0.723878087854275)</f>
        <v>0</v>
      </c>
      <c r="AG483" s="10" t="s">
        <v>13</v>
      </c>
      <c r="AM483" s="14">
        <f>F483*AE483</f>
        <v>0</v>
      </c>
      <c r="AN483" s="14">
        <f>F483*AF483</f>
        <v>0</v>
      </c>
      <c r="AO483" s="15" t="s">
        <v>1703</v>
      </c>
      <c r="AP483" s="15" t="s">
        <v>1735</v>
      </c>
      <c r="AQ483" s="8" t="s">
        <v>1769</v>
      </c>
      <c r="AS483" s="14">
        <f>AM483+AN483</f>
        <v>0</v>
      </c>
      <c r="AT483" s="14">
        <f>G483/(100-AU483)*100</f>
        <v>0</v>
      </c>
      <c r="AU483" s="14">
        <v>0</v>
      </c>
      <c r="AV483" s="14">
        <f>L483</f>
        <v>5.5145904</v>
      </c>
    </row>
    <row r="484" spans="1:13" ht="12.75">
      <c r="A484" s="102"/>
      <c r="B484" s="102"/>
      <c r="C484" s="102"/>
      <c r="D484" s="103" t="s">
        <v>1189</v>
      </c>
      <c r="E484" s="102"/>
      <c r="F484" s="104">
        <v>114.72</v>
      </c>
      <c r="G484" s="102"/>
      <c r="H484" s="102"/>
      <c r="I484" s="102"/>
      <c r="J484" s="102"/>
      <c r="K484" s="102"/>
      <c r="L484" s="102"/>
      <c r="M484" s="102"/>
    </row>
    <row r="485" spans="1:48" ht="12.75">
      <c r="A485" s="99" t="s">
        <v>160</v>
      </c>
      <c r="B485" s="99" t="s">
        <v>406</v>
      </c>
      <c r="C485" s="99" t="s">
        <v>573</v>
      </c>
      <c r="D485" s="99" t="s">
        <v>1190</v>
      </c>
      <c r="E485" s="99" t="s">
        <v>1643</v>
      </c>
      <c r="F485" s="100">
        <v>20.84</v>
      </c>
      <c r="G485" s="100">
        <v>0</v>
      </c>
      <c r="H485" s="100">
        <f>F485*AE485</f>
        <v>0</v>
      </c>
      <c r="I485" s="100">
        <f>J485-H485</f>
        <v>0</v>
      </c>
      <c r="J485" s="100">
        <f>F485*G485</f>
        <v>0</v>
      </c>
      <c r="K485" s="100">
        <v>0.02281</v>
      </c>
      <c r="L485" s="100">
        <f>F485*K485</f>
        <v>0.4753604</v>
      </c>
      <c r="M485" s="101" t="s">
        <v>1667</v>
      </c>
      <c r="P485" s="14">
        <f>IF(AG485="5",J485,0)</f>
        <v>0</v>
      </c>
      <c r="R485" s="14">
        <f>IF(AG485="1",H485,0)</f>
        <v>0</v>
      </c>
      <c r="S485" s="14">
        <f>IF(AG485="1",I485,0)</f>
        <v>0</v>
      </c>
      <c r="T485" s="14">
        <f>IF(AG485="7",H485,0)</f>
        <v>0</v>
      </c>
      <c r="U485" s="14">
        <f>IF(AG485="7",I485,0)</f>
        <v>0</v>
      </c>
      <c r="V485" s="14">
        <f>IF(AG485="2",H485,0)</f>
        <v>0</v>
      </c>
      <c r="W485" s="14">
        <f>IF(AG485="2",I485,0)</f>
        <v>0</v>
      </c>
      <c r="X485" s="14">
        <f>IF(AG485="0",J485,0)</f>
        <v>0</v>
      </c>
      <c r="Y485" s="8" t="s">
        <v>406</v>
      </c>
      <c r="Z485" s="5">
        <f>IF(AD485=0,J485,0)</f>
        <v>0</v>
      </c>
      <c r="AA485" s="5">
        <f>IF(AD485=15,J485,0)</f>
        <v>0</v>
      </c>
      <c r="AB485" s="5">
        <f>IF(AD485=21,J485,0)</f>
        <v>0</v>
      </c>
      <c r="AD485" s="14">
        <v>15</v>
      </c>
      <c r="AE485" s="14">
        <f>G485*0.782917526855383</f>
        <v>0</v>
      </c>
      <c r="AF485" s="14">
        <f>G485*(1-0.782917526855383)</f>
        <v>0</v>
      </c>
      <c r="AG485" s="10" t="s">
        <v>13</v>
      </c>
      <c r="AM485" s="14">
        <f>F485*AE485</f>
        <v>0</v>
      </c>
      <c r="AN485" s="14">
        <f>F485*AF485</f>
        <v>0</v>
      </c>
      <c r="AO485" s="15" t="s">
        <v>1703</v>
      </c>
      <c r="AP485" s="15" t="s">
        <v>1735</v>
      </c>
      <c r="AQ485" s="8" t="s">
        <v>1769</v>
      </c>
      <c r="AS485" s="14">
        <f>AM485+AN485</f>
        <v>0</v>
      </c>
      <c r="AT485" s="14">
        <f>G485/(100-AU485)*100</f>
        <v>0</v>
      </c>
      <c r="AU485" s="14">
        <v>0</v>
      </c>
      <c r="AV485" s="14">
        <f>L485</f>
        <v>0.4753604</v>
      </c>
    </row>
    <row r="486" spans="1:13" ht="12.75">
      <c r="A486" s="102"/>
      <c r="B486" s="102"/>
      <c r="C486" s="102"/>
      <c r="D486" s="103" t="s">
        <v>1191</v>
      </c>
      <c r="E486" s="102"/>
      <c r="F486" s="104">
        <v>20.84</v>
      </c>
      <c r="G486" s="102"/>
      <c r="H486" s="102"/>
      <c r="I486" s="102"/>
      <c r="J486" s="102"/>
      <c r="K486" s="102"/>
      <c r="L486" s="102"/>
      <c r="M486" s="102"/>
    </row>
    <row r="487" spans="1:48" ht="12.75">
      <c r="A487" s="99" t="s">
        <v>161</v>
      </c>
      <c r="B487" s="99" t="s">
        <v>406</v>
      </c>
      <c r="C487" s="99" t="s">
        <v>574</v>
      </c>
      <c r="D487" s="99" t="s">
        <v>1192</v>
      </c>
      <c r="E487" s="99" t="s">
        <v>1643</v>
      </c>
      <c r="F487" s="100">
        <v>11.01</v>
      </c>
      <c r="G487" s="100">
        <v>0</v>
      </c>
      <c r="H487" s="100">
        <f>F487*AE487</f>
        <v>0</v>
      </c>
      <c r="I487" s="100">
        <f>J487-H487</f>
        <v>0</v>
      </c>
      <c r="J487" s="100">
        <f>F487*G487</f>
        <v>0</v>
      </c>
      <c r="K487" s="100">
        <v>0.01549</v>
      </c>
      <c r="L487" s="100">
        <f>F487*K487</f>
        <v>0.1705449</v>
      </c>
      <c r="M487" s="101" t="s">
        <v>1667</v>
      </c>
      <c r="P487" s="14">
        <f>IF(AG487="5",J487,0)</f>
        <v>0</v>
      </c>
      <c r="R487" s="14">
        <f>IF(AG487="1",H487,0)</f>
        <v>0</v>
      </c>
      <c r="S487" s="14">
        <f>IF(AG487="1",I487,0)</f>
        <v>0</v>
      </c>
      <c r="T487" s="14">
        <f>IF(AG487="7",H487,0)</f>
        <v>0</v>
      </c>
      <c r="U487" s="14">
        <f>IF(AG487="7",I487,0)</f>
        <v>0</v>
      </c>
      <c r="V487" s="14">
        <f>IF(AG487="2",H487,0)</f>
        <v>0</v>
      </c>
      <c r="W487" s="14">
        <f>IF(AG487="2",I487,0)</f>
        <v>0</v>
      </c>
      <c r="X487" s="14">
        <f>IF(AG487="0",J487,0)</f>
        <v>0</v>
      </c>
      <c r="Y487" s="8" t="s">
        <v>406</v>
      </c>
      <c r="Z487" s="5">
        <f>IF(AD487=0,J487,0)</f>
        <v>0</v>
      </c>
      <c r="AA487" s="5">
        <f>IF(AD487=15,J487,0)</f>
        <v>0</v>
      </c>
      <c r="AB487" s="5">
        <f>IF(AD487=21,J487,0)</f>
        <v>0</v>
      </c>
      <c r="AD487" s="14">
        <v>15</v>
      </c>
      <c r="AE487" s="14">
        <f>G487*0.811450068399453</f>
        <v>0</v>
      </c>
      <c r="AF487" s="14">
        <f>G487*(1-0.811450068399453)</f>
        <v>0</v>
      </c>
      <c r="AG487" s="10" t="s">
        <v>13</v>
      </c>
      <c r="AM487" s="14">
        <f>F487*AE487</f>
        <v>0</v>
      </c>
      <c r="AN487" s="14">
        <f>F487*AF487</f>
        <v>0</v>
      </c>
      <c r="AO487" s="15" t="s">
        <v>1703</v>
      </c>
      <c r="AP487" s="15" t="s">
        <v>1735</v>
      </c>
      <c r="AQ487" s="8" t="s">
        <v>1769</v>
      </c>
      <c r="AS487" s="14">
        <f>AM487+AN487</f>
        <v>0</v>
      </c>
      <c r="AT487" s="14">
        <f>G487/(100-AU487)*100</f>
        <v>0</v>
      </c>
      <c r="AU487" s="14">
        <v>0</v>
      </c>
      <c r="AV487" s="14">
        <f>L487</f>
        <v>0.1705449</v>
      </c>
    </row>
    <row r="488" spans="1:13" ht="12.75">
      <c r="A488" s="102"/>
      <c r="B488" s="102"/>
      <c r="C488" s="102"/>
      <c r="D488" s="103" t="s">
        <v>1193</v>
      </c>
      <c r="E488" s="102"/>
      <c r="F488" s="104">
        <v>11.01</v>
      </c>
      <c r="G488" s="102"/>
      <c r="H488" s="102"/>
      <c r="I488" s="102"/>
      <c r="J488" s="102"/>
      <c r="K488" s="102"/>
      <c r="L488" s="102"/>
      <c r="M488" s="102"/>
    </row>
    <row r="489" spans="1:48" ht="12.75">
      <c r="A489" s="99" t="s">
        <v>162</v>
      </c>
      <c r="B489" s="99" t="s">
        <v>406</v>
      </c>
      <c r="C489" s="99" t="s">
        <v>575</v>
      </c>
      <c r="D489" s="99" t="s">
        <v>1194</v>
      </c>
      <c r="E489" s="99" t="s">
        <v>1641</v>
      </c>
      <c r="F489" s="100">
        <v>2</v>
      </c>
      <c r="G489" s="100">
        <v>0</v>
      </c>
      <c r="H489" s="100">
        <f>F489*AE489</f>
        <v>0</v>
      </c>
      <c r="I489" s="100">
        <f>J489-H489</f>
        <v>0</v>
      </c>
      <c r="J489" s="100">
        <f>F489*G489</f>
        <v>0</v>
      </c>
      <c r="K489" s="100">
        <v>0.0075</v>
      </c>
      <c r="L489" s="100">
        <f>F489*K489</f>
        <v>0.015</v>
      </c>
      <c r="M489" s="101" t="s">
        <v>1667</v>
      </c>
      <c r="P489" s="14">
        <f>IF(AG489="5",J489,0)</f>
        <v>0</v>
      </c>
      <c r="R489" s="14">
        <f>IF(AG489="1",H489,0)</f>
        <v>0</v>
      </c>
      <c r="S489" s="14">
        <f>IF(AG489="1",I489,0)</f>
        <v>0</v>
      </c>
      <c r="T489" s="14">
        <f>IF(AG489="7",H489,0)</f>
        <v>0</v>
      </c>
      <c r="U489" s="14">
        <f>IF(AG489="7",I489,0)</f>
        <v>0</v>
      </c>
      <c r="V489" s="14">
        <f>IF(AG489="2",H489,0)</f>
        <v>0</v>
      </c>
      <c r="W489" s="14">
        <f>IF(AG489="2",I489,0)</f>
        <v>0</v>
      </c>
      <c r="X489" s="14">
        <f>IF(AG489="0",J489,0)</f>
        <v>0</v>
      </c>
      <c r="Y489" s="8" t="s">
        <v>406</v>
      </c>
      <c r="Z489" s="5">
        <f>IF(AD489=0,J489,0)</f>
        <v>0</v>
      </c>
      <c r="AA489" s="5">
        <f>IF(AD489=15,J489,0)</f>
        <v>0</v>
      </c>
      <c r="AB489" s="5">
        <f>IF(AD489=21,J489,0)</f>
        <v>0</v>
      </c>
      <c r="AD489" s="14">
        <v>15</v>
      </c>
      <c r="AE489" s="14">
        <f>G489*0.969572072072072</f>
        <v>0</v>
      </c>
      <c r="AF489" s="14">
        <f>G489*(1-0.969572072072072)</f>
        <v>0</v>
      </c>
      <c r="AG489" s="10" t="s">
        <v>13</v>
      </c>
      <c r="AM489" s="14">
        <f>F489*AE489</f>
        <v>0</v>
      </c>
      <c r="AN489" s="14">
        <f>F489*AF489</f>
        <v>0</v>
      </c>
      <c r="AO489" s="15" t="s">
        <v>1703</v>
      </c>
      <c r="AP489" s="15" t="s">
        <v>1735</v>
      </c>
      <c r="AQ489" s="8" t="s">
        <v>1769</v>
      </c>
      <c r="AS489" s="14">
        <f>AM489+AN489</f>
        <v>0</v>
      </c>
      <c r="AT489" s="14">
        <f>G489/(100-AU489)*100</f>
        <v>0</v>
      </c>
      <c r="AU489" s="14">
        <v>0</v>
      </c>
      <c r="AV489" s="14">
        <f>L489</f>
        <v>0.015</v>
      </c>
    </row>
    <row r="490" spans="1:48" ht="12.75">
      <c r="A490" s="99" t="s">
        <v>163</v>
      </c>
      <c r="B490" s="99" t="s">
        <v>406</v>
      </c>
      <c r="C490" s="99" t="s">
        <v>576</v>
      </c>
      <c r="D490" s="99" t="s">
        <v>1195</v>
      </c>
      <c r="E490" s="99" t="s">
        <v>1643</v>
      </c>
      <c r="F490" s="100">
        <v>22.02</v>
      </c>
      <c r="G490" s="100">
        <v>0</v>
      </c>
      <c r="H490" s="100">
        <f>F490*AE490</f>
        <v>0</v>
      </c>
      <c r="I490" s="100">
        <f>J490-H490</f>
        <v>0</v>
      </c>
      <c r="J490" s="100">
        <f>F490*G490</f>
        <v>0</v>
      </c>
      <c r="K490" s="100">
        <v>0.00012</v>
      </c>
      <c r="L490" s="100">
        <f>F490*K490</f>
        <v>0.0026424</v>
      </c>
      <c r="M490" s="101" t="s">
        <v>1667</v>
      </c>
      <c r="P490" s="14">
        <f>IF(AG490="5",J490,0)</f>
        <v>0</v>
      </c>
      <c r="R490" s="14">
        <f>IF(AG490="1",H490,0)</f>
        <v>0</v>
      </c>
      <c r="S490" s="14">
        <f>IF(AG490="1",I490,0)</f>
        <v>0</v>
      </c>
      <c r="T490" s="14">
        <f>IF(AG490="7",H490,0)</f>
        <v>0</v>
      </c>
      <c r="U490" s="14">
        <f>IF(AG490="7",I490,0)</f>
        <v>0</v>
      </c>
      <c r="V490" s="14">
        <f>IF(AG490="2",H490,0)</f>
        <v>0</v>
      </c>
      <c r="W490" s="14">
        <f>IF(AG490="2",I490,0)</f>
        <v>0</v>
      </c>
      <c r="X490" s="14">
        <f>IF(AG490="0",J490,0)</f>
        <v>0</v>
      </c>
      <c r="Y490" s="8" t="s">
        <v>406</v>
      </c>
      <c r="Z490" s="5">
        <f>IF(AD490=0,J490,0)</f>
        <v>0</v>
      </c>
      <c r="AA490" s="5">
        <f>IF(AD490=15,J490,0)</f>
        <v>0</v>
      </c>
      <c r="AB490" s="5">
        <f>IF(AD490=21,J490,0)</f>
        <v>0</v>
      </c>
      <c r="AD490" s="14">
        <v>15</v>
      </c>
      <c r="AE490" s="14">
        <f>G490*0.654886249821148</f>
        <v>0</v>
      </c>
      <c r="AF490" s="14">
        <f>G490*(1-0.654886249821148)</f>
        <v>0</v>
      </c>
      <c r="AG490" s="10" t="s">
        <v>13</v>
      </c>
      <c r="AM490" s="14">
        <f>F490*AE490</f>
        <v>0</v>
      </c>
      <c r="AN490" s="14">
        <f>F490*AF490</f>
        <v>0</v>
      </c>
      <c r="AO490" s="15" t="s">
        <v>1703</v>
      </c>
      <c r="AP490" s="15" t="s">
        <v>1735</v>
      </c>
      <c r="AQ490" s="8" t="s">
        <v>1769</v>
      </c>
      <c r="AS490" s="14">
        <f>AM490+AN490</f>
        <v>0</v>
      </c>
      <c r="AT490" s="14">
        <f>G490/(100-AU490)*100</f>
        <v>0</v>
      </c>
      <c r="AU490" s="14">
        <v>0</v>
      </c>
      <c r="AV490" s="14">
        <f>L490</f>
        <v>0.0026424</v>
      </c>
    </row>
    <row r="491" spans="1:13" ht="12.75">
      <c r="A491" s="102"/>
      <c r="B491" s="102"/>
      <c r="C491" s="102"/>
      <c r="D491" s="103" t="s">
        <v>1196</v>
      </c>
      <c r="E491" s="102"/>
      <c r="F491" s="104">
        <v>22.02</v>
      </c>
      <c r="G491" s="102"/>
      <c r="H491" s="102"/>
      <c r="I491" s="102"/>
      <c r="J491" s="102"/>
      <c r="K491" s="102"/>
      <c r="L491" s="102"/>
      <c r="M491" s="102"/>
    </row>
    <row r="492" spans="1:48" ht="12.75">
      <c r="A492" s="99" t="s">
        <v>164</v>
      </c>
      <c r="B492" s="99" t="s">
        <v>406</v>
      </c>
      <c r="C492" s="99" t="s">
        <v>577</v>
      </c>
      <c r="D492" s="99" t="s">
        <v>1197</v>
      </c>
      <c r="E492" s="99" t="s">
        <v>1646</v>
      </c>
      <c r="F492" s="100">
        <v>1</v>
      </c>
      <c r="G492" s="100">
        <v>0</v>
      </c>
      <c r="H492" s="100">
        <f>F492*AE492</f>
        <v>0</v>
      </c>
      <c r="I492" s="100">
        <f>J492-H492</f>
        <v>0</v>
      </c>
      <c r="J492" s="100">
        <f>F492*G492</f>
        <v>0</v>
      </c>
      <c r="K492" s="100">
        <v>0.0013</v>
      </c>
      <c r="L492" s="100">
        <f>F492*K492</f>
        <v>0.0013</v>
      </c>
      <c r="M492" s="101" t="s">
        <v>1667</v>
      </c>
      <c r="P492" s="14">
        <f>IF(AG492="5",J492,0)</f>
        <v>0</v>
      </c>
      <c r="R492" s="14">
        <f>IF(AG492="1",H492,0)</f>
        <v>0</v>
      </c>
      <c r="S492" s="14">
        <f>IF(AG492="1",I492,0)</f>
        <v>0</v>
      </c>
      <c r="T492" s="14">
        <f>IF(AG492="7",H492,0)</f>
        <v>0</v>
      </c>
      <c r="U492" s="14">
        <f>IF(AG492="7",I492,0)</f>
        <v>0</v>
      </c>
      <c r="V492" s="14">
        <f>IF(AG492="2",H492,0)</f>
        <v>0</v>
      </c>
      <c r="W492" s="14">
        <f>IF(AG492="2",I492,0)</f>
        <v>0</v>
      </c>
      <c r="X492" s="14">
        <f>IF(AG492="0",J492,0)</f>
        <v>0</v>
      </c>
      <c r="Y492" s="8" t="s">
        <v>406</v>
      </c>
      <c r="Z492" s="5">
        <f>IF(AD492=0,J492,0)</f>
        <v>0</v>
      </c>
      <c r="AA492" s="5">
        <f>IF(AD492=15,J492,0)</f>
        <v>0</v>
      </c>
      <c r="AB492" s="5">
        <f>IF(AD492=21,J492,0)</f>
        <v>0</v>
      </c>
      <c r="AD492" s="14">
        <v>15</v>
      </c>
      <c r="AE492" s="14">
        <f>G492*0.983680397989882</f>
        <v>0</v>
      </c>
      <c r="AF492" s="14">
        <f>G492*(1-0.983680397989882)</f>
        <v>0</v>
      </c>
      <c r="AG492" s="10" t="s">
        <v>13</v>
      </c>
      <c r="AM492" s="14">
        <f>F492*AE492</f>
        <v>0</v>
      </c>
      <c r="AN492" s="14">
        <f>F492*AF492</f>
        <v>0</v>
      </c>
      <c r="AO492" s="15" t="s">
        <v>1703</v>
      </c>
      <c r="AP492" s="15" t="s">
        <v>1735</v>
      </c>
      <c r="AQ492" s="8" t="s">
        <v>1769</v>
      </c>
      <c r="AS492" s="14">
        <f>AM492+AN492</f>
        <v>0</v>
      </c>
      <c r="AT492" s="14">
        <f>G492/(100-AU492)*100</f>
        <v>0</v>
      </c>
      <c r="AU492" s="14">
        <v>0</v>
      </c>
      <c r="AV492" s="14">
        <f>L492</f>
        <v>0.0013</v>
      </c>
    </row>
    <row r="493" spans="1:48" ht="12.75">
      <c r="A493" s="99" t="s">
        <v>165</v>
      </c>
      <c r="B493" s="99" t="s">
        <v>406</v>
      </c>
      <c r="C493" s="99" t="s">
        <v>578</v>
      </c>
      <c r="D493" s="99" t="s">
        <v>1198</v>
      </c>
      <c r="E493" s="99" t="s">
        <v>1646</v>
      </c>
      <c r="F493" s="100">
        <v>3</v>
      </c>
      <c r="G493" s="100">
        <v>0</v>
      </c>
      <c r="H493" s="100">
        <f>F493*AE493</f>
        <v>0</v>
      </c>
      <c r="I493" s="100">
        <f>J493-H493</f>
        <v>0</v>
      </c>
      <c r="J493" s="100">
        <f>F493*G493</f>
        <v>0</v>
      </c>
      <c r="K493" s="100">
        <v>0.0022</v>
      </c>
      <c r="L493" s="100">
        <f>F493*K493</f>
        <v>0.0066</v>
      </c>
      <c r="M493" s="101" t="s">
        <v>1667</v>
      </c>
      <c r="P493" s="14">
        <f>IF(AG493="5",J493,0)</f>
        <v>0</v>
      </c>
      <c r="R493" s="14">
        <f>IF(AG493="1",H493,0)</f>
        <v>0</v>
      </c>
      <c r="S493" s="14">
        <f>IF(AG493="1",I493,0)</f>
        <v>0</v>
      </c>
      <c r="T493" s="14">
        <f>IF(AG493="7",H493,0)</f>
        <v>0</v>
      </c>
      <c r="U493" s="14">
        <f>IF(AG493="7",I493,0)</f>
        <v>0</v>
      </c>
      <c r="V493" s="14">
        <f>IF(AG493="2",H493,0)</f>
        <v>0</v>
      </c>
      <c r="W493" s="14">
        <f>IF(AG493="2",I493,0)</f>
        <v>0</v>
      </c>
      <c r="X493" s="14">
        <f>IF(AG493="0",J493,0)</f>
        <v>0</v>
      </c>
      <c r="Y493" s="8" t="s">
        <v>406</v>
      </c>
      <c r="Z493" s="5">
        <f>IF(AD493=0,J493,0)</f>
        <v>0</v>
      </c>
      <c r="AA493" s="5">
        <f>IF(AD493=15,J493,0)</f>
        <v>0</v>
      </c>
      <c r="AB493" s="5">
        <f>IF(AD493=21,J493,0)</f>
        <v>0</v>
      </c>
      <c r="AD493" s="14">
        <v>15</v>
      </c>
      <c r="AE493" s="14">
        <f>G493*0.990761091922854</f>
        <v>0</v>
      </c>
      <c r="AF493" s="14">
        <f>G493*(1-0.990761091922854)</f>
        <v>0</v>
      </c>
      <c r="AG493" s="10" t="s">
        <v>13</v>
      </c>
      <c r="AM493" s="14">
        <f>F493*AE493</f>
        <v>0</v>
      </c>
      <c r="AN493" s="14">
        <f>F493*AF493</f>
        <v>0</v>
      </c>
      <c r="AO493" s="15" t="s">
        <v>1703</v>
      </c>
      <c r="AP493" s="15" t="s">
        <v>1735</v>
      </c>
      <c r="AQ493" s="8" t="s">
        <v>1769</v>
      </c>
      <c r="AS493" s="14">
        <f>AM493+AN493</f>
        <v>0</v>
      </c>
      <c r="AT493" s="14">
        <f>G493/(100-AU493)*100</f>
        <v>0</v>
      </c>
      <c r="AU493" s="14">
        <v>0</v>
      </c>
      <c r="AV493" s="14">
        <f>L493</f>
        <v>0.0066</v>
      </c>
    </row>
    <row r="494" spans="1:48" ht="12.75">
      <c r="A494" s="99" t="s">
        <v>166</v>
      </c>
      <c r="B494" s="99" t="s">
        <v>406</v>
      </c>
      <c r="C494" s="99" t="s">
        <v>579</v>
      </c>
      <c r="D494" s="99" t="s">
        <v>1199</v>
      </c>
      <c r="E494" s="99" t="s">
        <v>1643</v>
      </c>
      <c r="F494" s="100">
        <v>10.42</v>
      </c>
      <c r="G494" s="100">
        <v>0</v>
      </c>
      <c r="H494" s="100">
        <f>F494*AE494</f>
        <v>0</v>
      </c>
      <c r="I494" s="100">
        <f>J494-H494</f>
        <v>0</v>
      </c>
      <c r="J494" s="100">
        <f>F494*G494</f>
        <v>0</v>
      </c>
      <c r="K494" s="100">
        <v>2E-05</v>
      </c>
      <c r="L494" s="100">
        <f>F494*K494</f>
        <v>0.00020840000000000002</v>
      </c>
      <c r="M494" s="101" t="s">
        <v>1667</v>
      </c>
      <c r="P494" s="14">
        <f>IF(AG494="5",J494,0)</f>
        <v>0</v>
      </c>
      <c r="R494" s="14">
        <f>IF(AG494="1",H494,0)</f>
        <v>0</v>
      </c>
      <c r="S494" s="14">
        <f>IF(AG494="1",I494,0)</f>
        <v>0</v>
      </c>
      <c r="T494" s="14">
        <f>IF(AG494="7",H494,0)</f>
        <v>0</v>
      </c>
      <c r="U494" s="14">
        <f>IF(AG494="7",I494,0)</f>
        <v>0</v>
      </c>
      <c r="V494" s="14">
        <f>IF(AG494="2",H494,0)</f>
        <v>0</v>
      </c>
      <c r="W494" s="14">
        <f>IF(AG494="2",I494,0)</f>
        <v>0</v>
      </c>
      <c r="X494" s="14">
        <f>IF(AG494="0",J494,0)</f>
        <v>0</v>
      </c>
      <c r="Y494" s="8" t="s">
        <v>406</v>
      </c>
      <c r="Z494" s="5">
        <f>IF(AD494=0,J494,0)</f>
        <v>0</v>
      </c>
      <c r="AA494" s="5">
        <f>IF(AD494=15,J494,0)</f>
        <v>0</v>
      </c>
      <c r="AB494" s="5">
        <f>IF(AD494=21,J494,0)</f>
        <v>0</v>
      </c>
      <c r="AD494" s="14">
        <v>15</v>
      </c>
      <c r="AE494" s="14">
        <f>G494*0.0702846236826819</f>
        <v>0</v>
      </c>
      <c r="AF494" s="14">
        <f>G494*(1-0.0702846236826819)</f>
        <v>0</v>
      </c>
      <c r="AG494" s="10" t="s">
        <v>13</v>
      </c>
      <c r="AM494" s="14">
        <f>F494*AE494</f>
        <v>0</v>
      </c>
      <c r="AN494" s="14">
        <f>F494*AF494</f>
        <v>0</v>
      </c>
      <c r="AO494" s="15" t="s">
        <v>1703</v>
      </c>
      <c r="AP494" s="15" t="s">
        <v>1735</v>
      </c>
      <c r="AQ494" s="8" t="s">
        <v>1769</v>
      </c>
      <c r="AS494" s="14">
        <f>AM494+AN494</f>
        <v>0</v>
      </c>
      <c r="AT494" s="14">
        <f>G494/(100-AU494)*100</f>
        <v>0</v>
      </c>
      <c r="AU494" s="14">
        <v>0</v>
      </c>
      <c r="AV494" s="14">
        <f>L494</f>
        <v>0.00020840000000000002</v>
      </c>
    </row>
    <row r="495" spans="1:13" ht="12.75">
      <c r="A495" s="102"/>
      <c r="B495" s="102"/>
      <c r="C495" s="102"/>
      <c r="D495" s="103" t="s">
        <v>1200</v>
      </c>
      <c r="E495" s="102"/>
      <c r="F495" s="104">
        <v>10.42</v>
      </c>
      <c r="G495" s="102"/>
      <c r="H495" s="102"/>
      <c r="I495" s="102"/>
      <c r="J495" s="102"/>
      <c r="K495" s="102"/>
      <c r="L495" s="102"/>
      <c r="M495" s="102"/>
    </row>
    <row r="496" spans="1:48" ht="12.75">
      <c r="A496" s="99" t="s">
        <v>167</v>
      </c>
      <c r="B496" s="99" t="s">
        <v>406</v>
      </c>
      <c r="C496" s="99" t="s">
        <v>580</v>
      </c>
      <c r="D496" s="99" t="s">
        <v>1201</v>
      </c>
      <c r="E496" s="99" t="s">
        <v>1641</v>
      </c>
      <c r="F496" s="100">
        <v>22</v>
      </c>
      <c r="G496" s="100">
        <v>0</v>
      </c>
      <c r="H496" s="100">
        <f>F496*AE496</f>
        <v>0</v>
      </c>
      <c r="I496" s="100">
        <f>J496-H496</f>
        <v>0</v>
      </c>
      <c r="J496" s="100">
        <f>F496*G496</f>
        <v>0</v>
      </c>
      <c r="K496" s="100">
        <v>0.0002</v>
      </c>
      <c r="L496" s="100">
        <f>F496*K496</f>
        <v>0.0044</v>
      </c>
      <c r="M496" s="101" t="s">
        <v>1667</v>
      </c>
      <c r="P496" s="14">
        <f>IF(AG496="5",J496,0)</f>
        <v>0</v>
      </c>
      <c r="R496" s="14">
        <f>IF(AG496="1",H496,0)</f>
        <v>0</v>
      </c>
      <c r="S496" s="14">
        <f>IF(AG496="1",I496,0)</f>
        <v>0</v>
      </c>
      <c r="T496" s="14">
        <f>IF(AG496="7",H496,0)</f>
        <v>0</v>
      </c>
      <c r="U496" s="14">
        <f>IF(AG496="7",I496,0)</f>
        <v>0</v>
      </c>
      <c r="V496" s="14">
        <f>IF(AG496="2",H496,0)</f>
        <v>0</v>
      </c>
      <c r="W496" s="14">
        <f>IF(AG496="2",I496,0)</f>
        <v>0</v>
      </c>
      <c r="X496" s="14">
        <f>IF(AG496="0",J496,0)</f>
        <v>0</v>
      </c>
      <c r="Y496" s="8" t="s">
        <v>406</v>
      </c>
      <c r="Z496" s="5">
        <f>IF(AD496=0,J496,0)</f>
        <v>0</v>
      </c>
      <c r="AA496" s="5">
        <f>IF(AD496=15,J496,0)</f>
        <v>0</v>
      </c>
      <c r="AB496" s="5">
        <f>IF(AD496=21,J496,0)</f>
        <v>0</v>
      </c>
      <c r="AD496" s="14">
        <v>15</v>
      </c>
      <c r="AE496" s="14">
        <f>G496*0.213005780346821</f>
        <v>0</v>
      </c>
      <c r="AF496" s="14">
        <f>G496*(1-0.213005780346821)</f>
        <v>0</v>
      </c>
      <c r="AG496" s="10" t="s">
        <v>13</v>
      </c>
      <c r="AM496" s="14">
        <f>F496*AE496</f>
        <v>0</v>
      </c>
      <c r="AN496" s="14">
        <f>F496*AF496</f>
        <v>0</v>
      </c>
      <c r="AO496" s="15" t="s">
        <v>1703</v>
      </c>
      <c r="AP496" s="15" t="s">
        <v>1735</v>
      </c>
      <c r="AQ496" s="8" t="s">
        <v>1769</v>
      </c>
      <c r="AS496" s="14">
        <f>AM496+AN496</f>
        <v>0</v>
      </c>
      <c r="AT496" s="14">
        <f>G496/(100-AU496)*100</f>
        <v>0</v>
      </c>
      <c r="AU496" s="14">
        <v>0</v>
      </c>
      <c r="AV496" s="14">
        <f>L496</f>
        <v>0.0044</v>
      </c>
    </row>
    <row r="497" spans="1:13" ht="12.75">
      <c r="A497" s="102"/>
      <c r="B497" s="102"/>
      <c r="C497" s="102"/>
      <c r="D497" s="103" t="s">
        <v>28</v>
      </c>
      <c r="E497" s="102"/>
      <c r="F497" s="104">
        <v>22</v>
      </c>
      <c r="G497" s="102"/>
      <c r="H497" s="102"/>
      <c r="I497" s="102"/>
      <c r="J497" s="102"/>
      <c r="K497" s="102"/>
      <c r="L497" s="102"/>
      <c r="M497" s="102"/>
    </row>
    <row r="498" spans="1:48" ht="12.75">
      <c r="A498" s="99" t="s">
        <v>168</v>
      </c>
      <c r="B498" s="99" t="s">
        <v>406</v>
      </c>
      <c r="C498" s="99" t="s">
        <v>581</v>
      </c>
      <c r="D498" s="99" t="s">
        <v>1202</v>
      </c>
      <c r="E498" s="99" t="s">
        <v>1646</v>
      </c>
      <c r="F498" s="100">
        <v>1</v>
      </c>
      <c r="G498" s="100">
        <v>0</v>
      </c>
      <c r="H498" s="100">
        <f>F498*AE498</f>
        <v>0</v>
      </c>
      <c r="I498" s="100">
        <f>J498-H498</f>
        <v>0</v>
      </c>
      <c r="J498" s="100">
        <f>F498*G498</f>
        <v>0</v>
      </c>
      <c r="K498" s="100">
        <v>0.02543</v>
      </c>
      <c r="L498" s="100">
        <f>F498*K498</f>
        <v>0.02543</v>
      </c>
      <c r="M498" s="101" t="s">
        <v>1667</v>
      </c>
      <c r="P498" s="14">
        <f>IF(AG498="5",J498,0)</f>
        <v>0</v>
      </c>
      <c r="R498" s="14">
        <f>IF(AG498="1",H498,0)</f>
        <v>0</v>
      </c>
      <c r="S498" s="14">
        <f>IF(AG498="1",I498,0)</f>
        <v>0</v>
      </c>
      <c r="T498" s="14">
        <f>IF(AG498="7",H498,0)</f>
        <v>0</v>
      </c>
      <c r="U498" s="14">
        <f>IF(AG498="7",I498,0)</f>
        <v>0</v>
      </c>
      <c r="V498" s="14">
        <f>IF(AG498="2",H498,0)</f>
        <v>0</v>
      </c>
      <c r="W498" s="14">
        <f>IF(AG498="2",I498,0)</f>
        <v>0</v>
      </c>
      <c r="X498" s="14">
        <f>IF(AG498="0",J498,0)</f>
        <v>0</v>
      </c>
      <c r="Y498" s="8" t="s">
        <v>406</v>
      </c>
      <c r="Z498" s="5">
        <f>IF(AD498=0,J498,0)</f>
        <v>0</v>
      </c>
      <c r="AA498" s="5">
        <f>IF(AD498=15,J498,0)</f>
        <v>0</v>
      </c>
      <c r="AB498" s="5">
        <f>IF(AD498=21,J498,0)</f>
        <v>0</v>
      </c>
      <c r="AD498" s="14">
        <v>15</v>
      </c>
      <c r="AE498" s="14">
        <f>G498*0.925585454545454</f>
        <v>0</v>
      </c>
      <c r="AF498" s="14">
        <f>G498*(1-0.925585454545454)</f>
        <v>0</v>
      </c>
      <c r="AG498" s="10" t="s">
        <v>13</v>
      </c>
      <c r="AM498" s="14">
        <f>F498*AE498</f>
        <v>0</v>
      </c>
      <c r="AN498" s="14">
        <f>F498*AF498</f>
        <v>0</v>
      </c>
      <c r="AO498" s="15" t="s">
        <v>1703</v>
      </c>
      <c r="AP498" s="15" t="s">
        <v>1735</v>
      </c>
      <c r="AQ498" s="8" t="s">
        <v>1769</v>
      </c>
      <c r="AS498" s="14">
        <f>AM498+AN498</f>
        <v>0</v>
      </c>
      <c r="AT498" s="14">
        <f>G498/(100-AU498)*100</f>
        <v>0</v>
      </c>
      <c r="AU498" s="14">
        <v>0</v>
      </c>
      <c r="AV498" s="14">
        <f>L498</f>
        <v>0.02543</v>
      </c>
    </row>
    <row r="499" spans="1:48" ht="12.75">
      <c r="A499" s="99" t="s">
        <v>169</v>
      </c>
      <c r="B499" s="99" t="s">
        <v>406</v>
      </c>
      <c r="C499" s="99" t="s">
        <v>582</v>
      </c>
      <c r="D499" s="99" t="s">
        <v>1203</v>
      </c>
      <c r="E499" s="99" t="s">
        <v>1646</v>
      </c>
      <c r="F499" s="100">
        <v>6</v>
      </c>
      <c r="G499" s="100">
        <v>0</v>
      </c>
      <c r="H499" s="100">
        <f>F499*AE499</f>
        <v>0</v>
      </c>
      <c r="I499" s="100">
        <f>J499-H499</f>
        <v>0</v>
      </c>
      <c r="J499" s="100">
        <f>F499*G499</f>
        <v>0</v>
      </c>
      <c r="K499" s="100">
        <v>0.02472</v>
      </c>
      <c r="L499" s="100">
        <f>F499*K499</f>
        <v>0.14832</v>
      </c>
      <c r="M499" s="101" t="s">
        <v>1667</v>
      </c>
      <c r="P499" s="14">
        <f>IF(AG499="5",J499,0)</f>
        <v>0</v>
      </c>
      <c r="R499" s="14">
        <f>IF(AG499="1",H499,0)</f>
        <v>0</v>
      </c>
      <c r="S499" s="14">
        <f>IF(AG499="1",I499,0)</f>
        <v>0</v>
      </c>
      <c r="T499" s="14">
        <f>IF(AG499="7",H499,0)</f>
        <v>0</v>
      </c>
      <c r="U499" s="14">
        <f>IF(AG499="7",I499,0)</f>
        <v>0</v>
      </c>
      <c r="V499" s="14">
        <f>IF(AG499="2",H499,0)</f>
        <v>0</v>
      </c>
      <c r="W499" s="14">
        <f>IF(AG499="2",I499,0)</f>
        <v>0</v>
      </c>
      <c r="X499" s="14">
        <f>IF(AG499="0",J499,0)</f>
        <v>0</v>
      </c>
      <c r="Y499" s="8" t="s">
        <v>406</v>
      </c>
      <c r="Z499" s="5">
        <f>IF(AD499=0,J499,0)</f>
        <v>0</v>
      </c>
      <c r="AA499" s="5">
        <f>IF(AD499=15,J499,0)</f>
        <v>0</v>
      </c>
      <c r="AB499" s="5">
        <f>IF(AD499=21,J499,0)</f>
        <v>0</v>
      </c>
      <c r="AD499" s="14">
        <v>15</v>
      </c>
      <c r="AE499" s="14">
        <f>G499*0.864208416833667</f>
        <v>0</v>
      </c>
      <c r="AF499" s="14">
        <f>G499*(1-0.864208416833667)</f>
        <v>0</v>
      </c>
      <c r="AG499" s="10" t="s">
        <v>13</v>
      </c>
      <c r="AM499" s="14">
        <f>F499*AE499</f>
        <v>0</v>
      </c>
      <c r="AN499" s="14">
        <f>F499*AF499</f>
        <v>0</v>
      </c>
      <c r="AO499" s="15" t="s">
        <v>1703</v>
      </c>
      <c r="AP499" s="15" t="s">
        <v>1735</v>
      </c>
      <c r="AQ499" s="8" t="s">
        <v>1769</v>
      </c>
      <c r="AS499" s="14">
        <f>AM499+AN499</f>
        <v>0</v>
      </c>
      <c r="AT499" s="14">
        <f>G499/(100-AU499)*100</f>
        <v>0</v>
      </c>
      <c r="AU499" s="14">
        <v>0</v>
      </c>
      <c r="AV499" s="14">
        <f>L499</f>
        <v>0.14832</v>
      </c>
    </row>
    <row r="500" spans="1:48" ht="12.75">
      <c r="A500" s="99" t="s">
        <v>170</v>
      </c>
      <c r="B500" s="99" t="s">
        <v>406</v>
      </c>
      <c r="C500" s="99" t="s">
        <v>583</v>
      </c>
      <c r="D500" s="99" t="s">
        <v>1204</v>
      </c>
      <c r="E500" s="99" t="s">
        <v>1641</v>
      </c>
      <c r="F500" s="100">
        <v>22</v>
      </c>
      <c r="G500" s="100">
        <v>0</v>
      </c>
      <c r="H500" s="100">
        <f>F500*AE500</f>
        <v>0</v>
      </c>
      <c r="I500" s="100">
        <f>J500-H500</f>
        <v>0</v>
      </c>
      <c r="J500" s="100">
        <f>F500*G500</f>
        <v>0</v>
      </c>
      <c r="K500" s="100">
        <v>0.00062</v>
      </c>
      <c r="L500" s="100">
        <f>F500*K500</f>
        <v>0.01364</v>
      </c>
      <c r="M500" s="101" t="s">
        <v>1667</v>
      </c>
      <c r="P500" s="14">
        <f>IF(AG500="5",J500,0)</f>
        <v>0</v>
      </c>
      <c r="R500" s="14">
        <f>IF(AG500="1",H500,0)</f>
        <v>0</v>
      </c>
      <c r="S500" s="14">
        <f>IF(AG500="1",I500,0)</f>
        <v>0</v>
      </c>
      <c r="T500" s="14">
        <f>IF(AG500="7",H500,0)</f>
        <v>0</v>
      </c>
      <c r="U500" s="14">
        <f>IF(AG500="7",I500,0)</f>
        <v>0</v>
      </c>
      <c r="V500" s="14">
        <f>IF(AG500="2",H500,0)</f>
        <v>0</v>
      </c>
      <c r="W500" s="14">
        <f>IF(AG500="2",I500,0)</f>
        <v>0</v>
      </c>
      <c r="X500" s="14">
        <f>IF(AG500="0",J500,0)</f>
        <v>0</v>
      </c>
      <c r="Y500" s="8" t="s">
        <v>406</v>
      </c>
      <c r="Z500" s="5">
        <f>IF(AD500=0,J500,0)</f>
        <v>0</v>
      </c>
      <c r="AA500" s="5">
        <f>IF(AD500=15,J500,0)</f>
        <v>0</v>
      </c>
      <c r="AB500" s="5">
        <f>IF(AD500=21,J500,0)</f>
        <v>0</v>
      </c>
      <c r="AD500" s="14">
        <v>15</v>
      </c>
      <c r="AE500" s="14">
        <f>G500*0.962093023255814</f>
        <v>0</v>
      </c>
      <c r="AF500" s="14">
        <f>G500*(1-0.962093023255814)</f>
        <v>0</v>
      </c>
      <c r="AG500" s="10" t="s">
        <v>13</v>
      </c>
      <c r="AM500" s="14">
        <f>F500*AE500</f>
        <v>0</v>
      </c>
      <c r="AN500" s="14">
        <f>F500*AF500</f>
        <v>0</v>
      </c>
      <c r="AO500" s="15" t="s">
        <v>1703</v>
      </c>
      <c r="AP500" s="15" t="s">
        <v>1735</v>
      </c>
      <c r="AQ500" s="8" t="s">
        <v>1769</v>
      </c>
      <c r="AS500" s="14">
        <f>AM500+AN500</f>
        <v>0</v>
      </c>
      <c r="AT500" s="14">
        <f>G500/(100-AU500)*100</f>
        <v>0</v>
      </c>
      <c r="AU500" s="14">
        <v>0</v>
      </c>
      <c r="AV500" s="14">
        <f>L500</f>
        <v>0.01364</v>
      </c>
    </row>
    <row r="501" spans="1:48" ht="12.75">
      <c r="A501" s="99" t="s">
        <v>171</v>
      </c>
      <c r="B501" s="99" t="s">
        <v>406</v>
      </c>
      <c r="C501" s="99" t="s">
        <v>584</v>
      </c>
      <c r="D501" s="99" t="s">
        <v>1205</v>
      </c>
      <c r="E501" s="99" t="s">
        <v>1641</v>
      </c>
      <c r="F501" s="100">
        <v>1</v>
      </c>
      <c r="G501" s="100">
        <v>0</v>
      </c>
      <c r="H501" s="100">
        <f>F501*AE501</f>
        <v>0</v>
      </c>
      <c r="I501" s="100">
        <f>J501-H501</f>
        <v>0</v>
      </c>
      <c r="J501" s="100">
        <f>F501*G501</f>
        <v>0</v>
      </c>
      <c r="K501" s="100">
        <v>0.00604</v>
      </c>
      <c r="L501" s="100">
        <f>F501*K501</f>
        <v>0.00604</v>
      </c>
      <c r="M501" s="101" t="s">
        <v>1667</v>
      </c>
      <c r="P501" s="14">
        <f>IF(AG501="5",J501,0)</f>
        <v>0</v>
      </c>
      <c r="R501" s="14">
        <f>IF(AG501="1",H501,0)</f>
        <v>0</v>
      </c>
      <c r="S501" s="14">
        <f>IF(AG501="1",I501,0)</f>
        <v>0</v>
      </c>
      <c r="T501" s="14">
        <f>IF(AG501="7",H501,0)</f>
        <v>0</v>
      </c>
      <c r="U501" s="14">
        <f>IF(AG501="7",I501,0)</f>
        <v>0</v>
      </c>
      <c r="V501" s="14">
        <f>IF(AG501="2",H501,0)</f>
        <v>0</v>
      </c>
      <c r="W501" s="14">
        <f>IF(AG501="2",I501,0)</f>
        <v>0</v>
      </c>
      <c r="X501" s="14">
        <f>IF(AG501="0",J501,0)</f>
        <v>0</v>
      </c>
      <c r="Y501" s="8" t="s">
        <v>406</v>
      </c>
      <c r="Z501" s="5">
        <f>IF(AD501=0,J501,0)</f>
        <v>0</v>
      </c>
      <c r="AA501" s="5">
        <f>IF(AD501=15,J501,0)</f>
        <v>0</v>
      </c>
      <c r="AB501" s="5">
        <f>IF(AD501=21,J501,0)</f>
        <v>0</v>
      </c>
      <c r="AD501" s="14">
        <v>15</v>
      </c>
      <c r="AE501" s="14">
        <f>G501*0.955611607142857</f>
        <v>0</v>
      </c>
      <c r="AF501" s="14">
        <f>G501*(1-0.955611607142857)</f>
        <v>0</v>
      </c>
      <c r="AG501" s="10" t="s">
        <v>13</v>
      </c>
      <c r="AM501" s="14">
        <f>F501*AE501</f>
        <v>0</v>
      </c>
      <c r="AN501" s="14">
        <f>F501*AF501</f>
        <v>0</v>
      </c>
      <c r="AO501" s="15" t="s">
        <v>1703</v>
      </c>
      <c r="AP501" s="15" t="s">
        <v>1735</v>
      </c>
      <c r="AQ501" s="8" t="s">
        <v>1769</v>
      </c>
      <c r="AS501" s="14">
        <f>AM501+AN501</f>
        <v>0</v>
      </c>
      <c r="AT501" s="14">
        <f>G501/(100-AU501)*100</f>
        <v>0</v>
      </c>
      <c r="AU501" s="14">
        <v>0</v>
      </c>
      <c r="AV501" s="14">
        <f>L501</f>
        <v>0.00604</v>
      </c>
    </row>
    <row r="502" spans="1:48" ht="12.75">
      <c r="A502" s="99" t="s">
        <v>172</v>
      </c>
      <c r="B502" s="99" t="s">
        <v>406</v>
      </c>
      <c r="C502" s="99" t="s">
        <v>585</v>
      </c>
      <c r="D502" s="99" t="s">
        <v>1206</v>
      </c>
      <c r="E502" s="99" t="s">
        <v>1642</v>
      </c>
      <c r="F502" s="100">
        <v>6.41</v>
      </c>
      <c r="G502" s="100">
        <v>0</v>
      </c>
      <c r="H502" s="100">
        <f>F502*AE502</f>
        <v>0</v>
      </c>
      <c r="I502" s="100">
        <f>J502-H502</f>
        <v>0</v>
      </c>
      <c r="J502" s="100">
        <f>F502*G502</f>
        <v>0</v>
      </c>
      <c r="K502" s="100">
        <v>0</v>
      </c>
      <c r="L502" s="100">
        <f>F502*K502</f>
        <v>0</v>
      </c>
      <c r="M502" s="101" t="s">
        <v>1667</v>
      </c>
      <c r="P502" s="14">
        <f>IF(AG502="5",J502,0)</f>
        <v>0</v>
      </c>
      <c r="R502" s="14">
        <f>IF(AG502="1",H502,0)</f>
        <v>0</v>
      </c>
      <c r="S502" s="14">
        <f>IF(AG502="1",I502,0)</f>
        <v>0</v>
      </c>
      <c r="T502" s="14">
        <f>IF(AG502="7",H502,0)</f>
        <v>0</v>
      </c>
      <c r="U502" s="14">
        <f>IF(AG502="7",I502,0)</f>
        <v>0</v>
      </c>
      <c r="V502" s="14">
        <f>IF(AG502="2",H502,0)</f>
        <v>0</v>
      </c>
      <c r="W502" s="14">
        <f>IF(AG502="2",I502,0)</f>
        <v>0</v>
      </c>
      <c r="X502" s="14">
        <f>IF(AG502="0",J502,0)</f>
        <v>0</v>
      </c>
      <c r="Y502" s="8" t="s">
        <v>406</v>
      </c>
      <c r="Z502" s="5">
        <f>IF(AD502=0,J502,0)</f>
        <v>0</v>
      </c>
      <c r="AA502" s="5">
        <f>IF(AD502=15,J502,0)</f>
        <v>0</v>
      </c>
      <c r="AB502" s="5">
        <f>IF(AD502=21,J502,0)</f>
        <v>0</v>
      </c>
      <c r="AD502" s="14">
        <v>15</v>
      </c>
      <c r="AE502" s="14">
        <f>G502*0</f>
        <v>0</v>
      </c>
      <c r="AF502" s="14">
        <f>G502*(1-0)</f>
        <v>0</v>
      </c>
      <c r="AG502" s="10" t="s">
        <v>11</v>
      </c>
      <c r="AM502" s="14">
        <f>F502*AE502</f>
        <v>0</v>
      </c>
      <c r="AN502" s="14">
        <f>F502*AF502</f>
        <v>0</v>
      </c>
      <c r="AO502" s="15" t="s">
        <v>1703</v>
      </c>
      <c r="AP502" s="15" t="s">
        <v>1735</v>
      </c>
      <c r="AQ502" s="8" t="s">
        <v>1769</v>
      </c>
      <c r="AS502" s="14">
        <f>AM502+AN502</f>
        <v>0</v>
      </c>
      <c r="AT502" s="14">
        <f>G502/(100-AU502)*100</f>
        <v>0</v>
      </c>
      <c r="AU502" s="14">
        <v>0</v>
      </c>
      <c r="AV502" s="14">
        <f>L502</f>
        <v>0</v>
      </c>
    </row>
    <row r="503" spans="1:37" ht="12.75">
      <c r="A503" s="93"/>
      <c r="B503" s="94" t="s">
        <v>406</v>
      </c>
      <c r="C503" s="94" t="s">
        <v>586</v>
      </c>
      <c r="D503" s="95" t="s">
        <v>1207</v>
      </c>
      <c r="E503" s="96"/>
      <c r="F503" s="96"/>
      <c r="G503" s="96"/>
      <c r="H503" s="97">
        <f>SUM(H504:H543)</f>
        <v>0</v>
      </c>
      <c r="I503" s="97">
        <f>SUM(I504:I543)</f>
        <v>0</v>
      </c>
      <c r="J503" s="97">
        <f>H503+I503</f>
        <v>0</v>
      </c>
      <c r="K503" s="98"/>
      <c r="L503" s="97">
        <f>SUM(L504:L543)</f>
        <v>0.5539486</v>
      </c>
      <c r="M503" s="98"/>
      <c r="Y503" s="8" t="s">
        <v>406</v>
      </c>
      <c r="AI503" s="16">
        <f>SUM(Z504:Z543)</f>
        <v>0</v>
      </c>
      <c r="AJ503" s="16">
        <f>SUM(AA504:AA543)</f>
        <v>0</v>
      </c>
      <c r="AK503" s="16">
        <f>SUM(AB504:AB543)</f>
        <v>0</v>
      </c>
    </row>
    <row r="504" spans="1:48" ht="12.75">
      <c r="A504" s="99" t="s">
        <v>173</v>
      </c>
      <c r="B504" s="99" t="s">
        <v>406</v>
      </c>
      <c r="C504" s="99" t="s">
        <v>587</v>
      </c>
      <c r="D504" s="99" t="s">
        <v>1208</v>
      </c>
      <c r="E504" s="99" t="s">
        <v>1644</v>
      </c>
      <c r="F504" s="100">
        <v>1</v>
      </c>
      <c r="G504" s="100">
        <v>0</v>
      </c>
      <c r="H504" s="100">
        <f>F504*AE504</f>
        <v>0</v>
      </c>
      <c r="I504" s="100">
        <f>J504-H504</f>
        <v>0</v>
      </c>
      <c r="J504" s="100">
        <f>F504*G504</f>
        <v>0</v>
      </c>
      <c r="K504" s="100">
        <v>0</v>
      </c>
      <c r="L504" s="100">
        <f>F504*K504</f>
        <v>0</v>
      </c>
      <c r="M504" s="101" t="s">
        <v>1667</v>
      </c>
      <c r="P504" s="14">
        <f>IF(AG504="5",J504,0)</f>
        <v>0</v>
      </c>
      <c r="R504" s="14">
        <f>IF(AG504="1",H504,0)</f>
        <v>0</v>
      </c>
      <c r="S504" s="14">
        <f>IF(AG504="1",I504,0)</f>
        <v>0</v>
      </c>
      <c r="T504" s="14">
        <f>IF(AG504="7",H504,0)</f>
        <v>0</v>
      </c>
      <c r="U504" s="14">
        <f>IF(AG504="7",I504,0)</f>
        <v>0</v>
      </c>
      <c r="V504" s="14">
        <f>IF(AG504="2",H504,0)</f>
        <v>0</v>
      </c>
      <c r="W504" s="14">
        <f>IF(AG504="2",I504,0)</f>
        <v>0</v>
      </c>
      <c r="X504" s="14">
        <f>IF(AG504="0",J504,0)</f>
        <v>0</v>
      </c>
      <c r="Y504" s="8" t="s">
        <v>406</v>
      </c>
      <c r="Z504" s="5">
        <f>IF(AD504=0,J504,0)</f>
        <v>0</v>
      </c>
      <c r="AA504" s="5">
        <f>IF(AD504=15,J504,0)</f>
        <v>0</v>
      </c>
      <c r="AB504" s="5">
        <f>IF(AD504=21,J504,0)</f>
        <v>0</v>
      </c>
      <c r="AD504" s="14">
        <v>15</v>
      </c>
      <c r="AE504" s="14">
        <f>G504*0</f>
        <v>0</v>
      </c>
      <c r="AF504" s="14">
        <f>G504*(1-0)</f>
        <v>0</v>
      </c>
      <c r="AG504" s="10" t="s">
        <v>13</v>
      </c>
      <c r="AM504" s="14">
        <f>F504*AE504</f>
        <v>0</v>
      </c>
      <c r="AN504" s="14">
        <f>F504*AF504</f>
        <v>0</v>
      </c>
      <c r="AO504" s="15" t="s">
        <v>1704</v>
      </c>
      <c r="AP504" s="15" t="s">
        <v>1735</v>
      </c>
      <c r="AQ504" s="8" t="s">
        <v>1769</v>
      </c>
      <c r="AS504" s="14">
        <f>AM504+AN504</f>
        <v>0</v>
      </c>
      <c r="AT504" s="14">
        <f>G504/(100-AU504)*100</f>
        <v>0</v>
      </c>
      <c r="AU504" s="14">
        <v>0</v>
      </c>
      <c r="AV504" s="14">
        <f>L504</f>
        <v>0</v>
      </c>
    </row>
    <row r="505" spans="1:48" ht="12.75">
      <c r="A505" s="99" t="s">
        <v>174</v>
      </c>
      <c r="B505" s="99" t="s">
        <v>406</v>
      </c>
      <c r="C505" s="99" t="s">
        <v>588</v>
      </c>
      <c r="D505" s="99" t="s">
        <v>1209</v>
      </c>
      <c r="E505" s="99" t="s">
        <v>1644</v>
      </c>
      <c r="F505" s="100">
        <v>1</v>
      </c>
      <c r="G505" s="100">
        <v>0</v>
      </c>
      <c r="H505" s="100">
        <f>F505*AE505</f>
        <v>0</v>
      </c>
      <c r="I505" s="100">
        <f>J505-H505</f>
        <v>0</v>
      </c>
      <c r="J505" s="100">
        <f>F505*G505</f>
        <v>0</v>
      </c>
      <c r="K505" s="100">
        <v>0</v>
      </c>
      <c r="L505" s="100">
        <f>F505*K505</f>
        <v>0</v>
      </c>
      <c r="M505" s="101" t="s">
        <v>1669</v>
      </c>
      <c r="P505" s="14">
        <f>IF(AG505="5",J505,0)</f>
        <v>0</v>
      </c>
      <c r="R505" s="14">
        <f>IF(AG505="1",H505,0)</f>
        <v>0</v>
      </c>
      <c r="S505" s="14">
        <f>IF(AG505="1",I505,0)</f>
        <v>0</v>
      </c>
      <c r="T505" s="14">
        <f>IF(AG505="7",H505,0)</f>
        <v>0</v>
      </c>
      <c r="U505" s="14">
        <f>IF(AG505="7",I505,0)</f>
        <v>0</v>
      </c>
      <c r="V505" s="14">
        <f>IF(AG505="2",H505,0)</f>
        <v>0</v>
      </c>
      <c r="W505" s="14">
        <f>IF(AG505="2",I505,0)</f>
        <v>0</v>
      </c>
      <c r="X505" s="14">
        <f>IF(AG505="0",J505,0)</f>
        <v>0</v>
      </c>
      <c r="Y505" s="8" t="s">
        <v>406</v>
      </c>
      <c r="Z505" s="5">
        <f>IF(AD505=0,J505,0)</f>
        <v>0</v>
      </c>
      <c r="AA505" s="5">
        <f>IF(AD505=15,J505,0)</f>
        <v>0</v>
      </c>
      <c r="AB505" s="5">
        <f>IF(AD505=21,J505,0)</f>
        <v>0</v>
      </c>
      <c r="AD505" s="14">
        <v>15</v>
      </c>
      <c r="AE505" s="14">
        <f>G505*0</f>
        <v>0</v>
      </c>
      <c r="AF505" s="14">
        <f>G505*(1-0)</f>
        <v>0</v>
      </c>
      <c r="AG505" s="10" t="s">
        <v>13</v>
      </c>
      <c r="AM505" s="14">
        <f>F505*AE505</f>
        <v>0</v>
      </c>
      <c r="AN505" s="14">
        <f>F505*AF505</f>
        <v>0</v>
      </c>
      <c r="AO505" s="15" t="s">
        <v>1704</v>
      </c>
      <c r="AP505" s="15" t="s">
        <v>1735</v>
      </c>
      <c r="AQ505" s="8" t="s">
        <v>1769</v>
      </c>
      <c r="AS505" s="14">
        <f>AM505+AN505</f>
        <v>0</v>
      </c>
      <c r="AT505" s="14">
        <f>G505/(100-AU505)*100</f>
        <v>0</v>
      </c>
      <c r="AU505" s="14">
        <v>0</v>
      </c>
      <c r="AV505" s="14">
        <f>L505</f>
        <v>0</v>
      </c>
    </row>
    <row r="506" spans="1:48" ht="12.75">
      <c r="A506" s="99" t="s">
        <v>175</v>
      </c>
      <c r="B506" s="99" t="s">
        <v>406</v>
      </c>
      <c r="C506" s="99" t="s">
        <v>589</v>
      </c>
      <c r="D506" s="99" t="s">
        <v>1210</v>
      </c>
      <c r="E506" s="99" t="s">
        <v>1645</v>
      </c>
      <c r="F506" s="100">
        <v>1</v>
      </c>
      <c r="G506" s="100">
        <v>0</v>
      </c>
      <c r="H506" s="100">
        <f>F506*AE506</f>
        <v>0</v>
      </c>
      <c r="I506" s="100">
        <f>J506-H506</f>
        <v>0</v>
      </c>
      <c r="J506" s="100">
        <f>F506*G506</f>
        <v>0</v>
      </c>
      <c r="K506" s="100">
        <v>0</v>
      </c>
      <c r="L506" s="100">
        <f>F506*K506</f>
        <v>0</v>
      </c>
      <c r="M506" s="101" t="s">
        <v>1669</v>
      </c>
      <c r="P506" s="14">
        <f>IF(AG506="5",J506,0)</f>
        <v>0</v>
      </c>
      <c r="R506" s="14">
        <f>IF(AG506="1",H506,0)</f>
        <v>0</v>
      </c>
      <c r="S506" s="14">
        <f>IF(AG506="1",I506,0)</f>
        <v>0</v>
      </c>
      <c r="T506" s="14">
        <f>IF(AG506="7",H506,0)</f>
        <v>0</v>
      </c>
      <c r="U506" s="14">
        <f>IF(AG506="7",I506,0)</f>
        <v>0</v>
      </c>
      <c r="V506" s="14">
        <f>IF(AG506="2",H506,0)</f>
        <v>0</v>
      </c>
      <c r="W506" s="14">
        <f>IF(AG506="2",I506,0)</f>
        <v>0</v>
      </c>
      <c r="X506" s="14">
        <f>IF(AG506="0",J506,0)</f>
        <v>0</v>
      </c>
      <c r="Y506" s="8" t="s">
        <v>406</v>
      </c>
      <c r="Z506" s="5">
        <f>IF(AD506=0,J506,0)</f>
        <v>0</v>
      </c>
      <c r="AA506" s="5">
        <f>IF(AD506=15,J506,0)</f>
        <v>0</v>
      </c>
      <c r="AB506" s="5">
        <f>IF(AD506=21,J506,0)</f>
        <v>0</v>
      </c>
      <c r="AD506" s="14">
        <v>15</v>
      </c>
      <c r="AE506" s="14">
        <f>G506*0</f>
        <v>0</v>
      </c>
      <c r="AF506" s="14">
        <f>G506*(1-0)</f>
        <v>0</v>
      </c>
      <c r="AG506" s="10" t="s">
        <v>13</v>
      </c>
      <c r="AM506" s="14">
        <f>F506*AE506</f>
        <v>0</v>
      </c>
      <c r="AN506" s="14">
        <f>F506*AF506</f>
        <v>0</v>
      </c>
      <c r="AO506" s="15" t="s">
        <v>1704</v>
      </c>
      <c r="AP506" s="15" t="s">
        <v>1735</v>
      </c>
      <c r="AQ506" s="8" t="s">
        <v>1769</v>
      </c>
      <c r="AS506" s="14">
        <f>AM506+AN506</f>
        <v>0</v>
      </c>
      <c r="AT506" s="14">
        <f>G506/(100-AU506)*100</f>
        <v>0</v>
      </c>
      <c r="AU506" s="14">
        <v>0</v>
      </c>
      <c r="AV506" s="14">
        <f>L506</f>
        <v>0</v>
      </c>
    </row>
    <row r="507" spans="1:48" ht="12.75">
      <c r="A507" s="99" t="s">
        <v>176</v>
      </c>
      <c r="B507" s="99" t="s">
        <v>406</v>
      </c>
      <c r="C507" s="99" t="s">
        <v>590</v>
      </c>
      <c r="D507" s="99" t="s">
        <v>1211</v>
      </c>
      <c r="E507" s="99" t="s">
        <v>1643</v>
      </c>
      <c r="F507" s="100">
        <v>3.15</v>
      </c>
      <c r="G507" s="100">
        <v>0</v>
      </c>
      <c r="H507" s="100">
        <f>F507*AE507</f>
        <v>0</v>
      </c>
      <c r="I507" s="100">
        <f>J507-H507</f>
        <v>0</v>
      </c>
      <c r="J507" s="100">
        <f>F507*G507</f>
        <v>0</v>
      </c>
      <c r="K507" s="100">
        <v>0</v>
      </c>
      <c r="L507" s="100">
        <f>F507*K507</f>
        <v>0</v>
      </c>
      <c r="M507" s="101" t="s">
        <v>1667</v>
      </c>
      <c r="P507" s="14">
        <f>IF(AG507="5",J507,0)</f>
        <v>0</v>
      </c>
      <c r="R507" s="14">
        <f>IF(AG507="1",H507,0)</f>
        <v>0</v>
      </c>
      <c r="S507" s="14">
        <f>IF(AG507="1",I507,0)</f>
        <v>0</v>
      </c>
      <c r="T507" s="14">
        <f>IF(AG507="7",H507,0)</f>
        <v>0</v>
      </c>
      <c r="U507" s="14">
        <f>IF(AG507="7",I507,0)</f>
        <v>0</v>
      </c>
      <c r="V507" s="14">
        <f>IF(AG507="2",H507,0)</f>
        <v>0</v>
      </c>
      <c r="W507" s="14">
        <f>IF(AG507="2",I507,0)</f>
        <v>0</v>
      </c>
      <c r="X507" s="14">
        <f>IF(AG507="0",J507,0)</f>
        <v>0</v>
      </c>
      <c r="Y507" s="8" t="s">
        <v>406</v>
      </c>
      <c r="Z507" s="5">
        <f>IF(AD507=0,J507,0)</f>
        <v>0</v>
      </c>
      <c r="AA507" s="5">
        <f>IF(AD507=15,J507,0)</f>
        <v>0</v>
      </c>
      <c r="AB507" s="5">
        <f>IF(AD507=21,J507,0)</f>
        <v>0</v>
      </c>
      <c r="AD507" s="14">
        <v>15</v>
      </c>
      <c r="AE507" s="14">
        <f>G507*0</f>
        <v>0</v>
      </c>
      <c r="AF507" s="14">
        <f>G507*(1-0)</f>
        <v>0</v>
      </c>
      <c r="AG507" s="10" t="s">
        <v>13</v>
      </c>
      <c r="AM507" s="14">
        <f>F507*AE507</f>
        <v>0</v>
      </c>
      <c r="AN507" s="14">
        <f>F507*AF507</f>
        <v>0</v>
      </c>
      <c r="AO507" s="15" t="s">
        <v>1704</v>
      </c>
      <c r="AP507" s="15" t="s">
        <v>1735</v>
      </c>
      <c r="AQ507" s="8" t="s">
        <v>1769</v>
      </c>
      <c r="AS507" s="14">
        <f>AM507+AN507</f>
        <v>0</v>
      </c>
      <c r="AT507" s="14">
        <f>G507/(100-AU507)*100</f>
        <v>0</v>
      </c>
      <c r="AU507" s="14">
        <v>0</v>
      </c>
      <c r="AV507" s="14">
        <f>L507</f>
        <v>0</v>
      </c>
    </row>
    <row r="508" spans="1:13" ht="12.75">
      <c r="A508" s="102"/>
      <c r="B508" s="102"/>
      <c r="C508" s="102"/>
      <c r="D508" s="103" t="s">
        <v>1212</v>
      </c>
      <c r="E508" s="102"/>
      <c r="F508" s="104">
        <v>3.15</v>
      </c>
      <c r="G508" s="102"/>
      <c r="H508" s="102"/>
      <c r="I508" s="102"/>
      <c r="J508" s="102"/>
      <c r="K508" s="102"/>
      <c r="L508" s="102"/>
      <c r="M508" s="102"/>
    </row>
    <row r="509" spans="1:48" ht="12.75">
      <c r="A509" s="99" t="s">
        <v>177</v>
      </c>
      <c r="B509" s="99" t="s">
        <v>406</v>
      </c>
      <c r="C509" s="99" t="s">
        <v>591</v>
      </c>
      <c r="D509" s="99" t="s">
        <v>1213</v>
      </c>
      <c r="E509" s="99" t="s">
        <v>1640</v>
      </c>
      <c r="F509" s="100">
        <v>10.25</v>
      </c>
      <c r="G509" s="100">
        <v>0</v>
      </c>
      <c r="H509" s="100">
        <f>F509*AE509</f>
        <v>0</v>
      </c>
      <c r="I509" s="100">
        <f>J509-H509</f>
        <v>0</v>
      </c>
      <c r="J509" s="100">
        <f>F509*G509</f>
        <v>0</v>
      </c>
      <c r="K509" s="100">
        <v>0.0125</v>
      </c>
      <c r="L509" s="100">
        <f>F509*K509</f>
        <v>0.12812500000000002</v>
      </c>
      <c r="M509" s="101" t="s">
        <v>1667</v>
      </c>
      <c r="P509" s="14">
        <f>IF(AG509="5",J509,0)</f>
        <v>0</v>
      </c>
      <c r="R509" s="14">
        <f>IF(AG509="1",H509,0)</f>
        <v>0</v>
      </c>
      <c r="S509" s="14">
        <f>IF(AG509="1",I509,0)</f>
        <v>0</v>
      </c>
      <c r="T509" s="14">
        <f>IF(AG509="7",H509,0)</f>
        <v>0</v>
      </c>
      <c r="U509" s="14">
        <f>IF(AG509="7",I509,0)</f>
        <v>0</v>
      </c>
      <c r="V509" s="14">
        <f>IF(AG509="2",H509,0)</f>
        <v>0</v>
      </c>
      <c r="W509" s="14">
        <f>IF(AG509="2",I509,0)</f>
        <v>0</v>
      </c>
      <c r="X509" s="14">
        <f>IF(AG509="0",J509,0)</f>
        <v>0</v>
      </c>
      <c r="Y509" s="8" t="s">
        <v>406</v>
      </c>
      <c r="Z509" s="5">
        <f>IF(AD509=0,J509,0)</f>
        <v>0</v>
      </c>
      <c r="AA509" s="5">
        <f>IF(AD509=15,J509,0)</f>
        <v>0</v>
      </c>
      <c r="AB509" s="5">
        <f>IF(AD509=21,J509,0)</f>
        <v>0</v>
      </c>
      <c r="AD509" s="14">
        <v>15</v>
      </c>
      <c r="AE509" s="14">
        <f>G509*0.396863303726049</f>
        <v>0</v>
      </c>
      <c r="AF509" s="14">
        <f>G509*(1-0.396863303726049)</f>
        <v>0</v>
      </c>
      <c r="AG509" s="10" t="s">
        <v>13</v>
      </c>
      <c r="AM509" s="14">
        <f>F509*AE509</f>
        <v>0</v>
      </c>
      <c r="AN509" s="14">
        <f>F509*AF509</f>
        <v>0</v>
      </c>
      <c r="AO509" s="15" t="s">
        <v>1704</v>
      </c>
      <c r="AP509" s="15" t="s">
        <v>1735</v>
      </c>
      <c r="AQ509" s="8" t="s">
        <v>1769</v>
      </c>
      <c r="AS509" s="14">
        <f>AM509+AN509</f>
        <v>0</v>
      </c>
      <c r="AT509" s="14">
        <f>G509/(100-AU509)*100</f>
        <v>0</v>
      </c>
      <c r="AU509" s="14">
        <v>0</v>
      </c>
      <c r="AV509" s="14">
        <f>L509</f>
        <v>0.12812500000000002</v>
      </c>
    </row>
    <row r="510" spans="1:13" ht="12.75">
      <c r="A510" s="102"/>
      <c r="B510" s="102"/>
      <c r="C510" s="102"/>
      <c r="D510" s="103" t="s">
        <v>1214</v>
      </c>
      <c r="E510" s="102"/>
      <c r="F510" s="104">
        <v>9.46</v>
      </c>
      <c r="G510" s="102"/>
      <c r="H510" s="102"/>
      <c r="I510" s="102"/>
      <c r="J510" s="102"/>
      <c r="K510" s="102"/>
      <c r="L510" s="102"/>
      <c r="M510" s="102"/>
    </row>
    <row r="511" spans="1:13" ht="12.75">
      <c r="A511" s="102"/>
      <c r="B511" s="102"/>
      <c r="C511" s="102"/>
      <c r="D511" s="103" t="s">
        <v>1215</v>
      </c>
      <c r="E511" s="102"/>
      <c r="F511" s="104">
        <v>0.79</v>
      </c>
      <c r="G511" s="102"/>
      <c r="H511" s="102"/>
      <c r="I511" s="102"/>
      <c r="J511" s="102"/>
      <c r="K511" s="102"/>
      <c r="L511" s="102"/>
      <c r="M511" s="102"/>
    </row>
    <row r="512" spans="1:48" ht="12.75">
      <c r="A512" s="99" t="s">
        <v>178</v>
      </c>
      <c r="B512" s="99" t="s">
        <v>406</v>
      </c>
      <c r="C512" s="99" t="s">
        <v>592</v>
      </c>
      <c r="D512" s="99" t="s">
        <v>1216</v>
      </c>
      <c r="E512" s="99" t="s">
        <v>1644</v>
      </c>
      <c r="F512" s="100">
        <v>2</v>
      </c>
      <c r="G512" s="100">
        <v>0</v>
      </c>
      <c r="H512" s="100">
        <f>F512*AE512</f>
        <v>0</v>
      </c>
      <c r="I512" s="100">
        <f>J512-H512</f>
        <v>0</v>
      </c>
      <c r="J512" s="100">
        <f>F512*G512</f>
        <v>0</v>
      </c>
      <c r="K512" s="100">
        <v>0</v>
      </c>
      <c r="L512" s="100">
        <f>F512*K512</f>
        <v>0</v>
      </c>
      <c r="M512" s="101" t="s">
        <v>1670</v>
      </c>
      <c r="P512" s="14">
        <f>IF(AG512="5",J512,0)</f>
        <v>0</v>
      </c>
      <c r="R512" s="14">
        <f>IF(AG512="1",H512,0)</f>
        <v>0</v>
      </c>
      <c r="S512" s="14">
        <f>IF(AG512="1",I512,0)</f>
        <v>0</v>
      </c>
      <c r="T512" s="14">
        <f>IF(AG512="7",H512,0)</f>
        <v>0</v>
      </c>
      <c r="U512" s="14">
        <f>IF(AG512="7",I512,0)</f>
        <v>0</v>
      </c>
      <c r="V512" s="14">
        <f>IF(AG512="2",H512,0)</f>
        <v>0</v>
      </c>
      <c r="W512" s="14">
        <f>IF(AG512="2",I512,0)</f>
        <v>0</v>
      </c>
      <c r="X512" s="14">
        <f>IF(AG512="0",J512,0)</f>
        <v>0</v>
      </c>
      <c r="Y512" s="8" t="s">
        <v>406</v>
      </c>
      <c r="Z512" s="5">
        <f>IF(AD512=0,J512,0)</f>
        <v>0</v>
      </c>
      <c r="AA512" s="5">
        <f>IF(AD512=15,J512,0)</f>
        <v>0</v>
      </c>
      <c r="AB512" s="5">
        <f>IF(AD512=21,J512,0)</f>
        <v>0</v>
      </c>
      <c r="AD512" s="14">
        <v>15</v>
      </c>
      <c r="AE512" s="14">
        <f>G512*0</f>
        <v>0</v>
      </c>
      <c r="AF512" s="14">
        <f>G512*(1-0)</f>
        <v>0</v>
      </c>
      <c r="AG512" s="10" t="s">
        <v>13</v>
      </c>
      <c r="AM512" s="14">
        <f>F512*AE512</f>
        <v>0</v>
      </c>
      <c r="AN512" s="14">
        <f>F512*AF512</f>
        <v>0</v>
      </c>
      <c r="AO512" s="15" t="s">
        <v>1704</v>
      </c>
      <c r="AP512" s="15" t="s">
        <v>1735</v>
      </c>
      <c r="AQ512" s="8" t="s">
        <v>1769</v>
      </c>
      <c r="AS512" s="14">
        <f>AM512+AN512</f>
        <v>0</v>
      </c>
      <c r="AT512" s="14">
        <f>G512/(100-AU512)*100</f>
        <v>0</v>
      </c>
      <c r="AU512" s="14">
        <v>0</v>
      </c>
      <c r="AV512" s="14">
        <f>L512</f>
        <v>0</v>
      </c>
    </row>
    <row r="513" spans="1:48" ht="12.75">
      <c r="A513" s="99" t="s">
        <v>179</v>
      </c>
      <c r="B513" s="99" t="s">
        <v>406</v>
      </c>
      <c r="C513" s="99" t="s">
        <v>593</v>
      </c>
      <c r="D513" s="99" t="s">
        <v>1217</v>
      </c>
      <c r="E513" s="99" t="s">
        <v>1644</v>
      </c>
      <c r="F513" s="100">
        <v>1</v>
      </c>
      <c r="G513" s="100">
        <v>0</v>
      </c>
      <c r="H513" s="100">
        <f>F513*AE513</f>
        <v>0</v>
      </c>
      <c r="I513" s="100">
        <f>J513-H513</f>
        <v>0</v>
      </c>
      <c r="J513" s="100">
        <f>F513*G513</f>
        <v>0</v>
      </c>
      <c r="K513" s="100">
        <v>0</v>
      </c>
      <c r="L513" s="100">
        <f>F513*K513</f>
        <v>0</v>
      </c>
      <c r="M513" s="101" t="s">
        <v>1669</v>
      </c>
      <c r="P513" s="14">
        <f>IF(AG513="5",J513,0)</f>
        <v>0</v>
      </c>
      <c r="R513" s="14">
        <f>IF(AG513="1",H513,0)</f>
        <v>0</v>
      </c>
      <c r="S513" s="14">
        <f>IF(AG513="1",I513,0)</f>
        <v>0</v>
      </c>
      <c r="T513" s="14">
        <f>IF(AG513="7",H513,0)</f>
        <v>0</v>
      </c>
      <c r="U513" s="14">
        <f>IF(AG513="7",I513,0)</f>
        <v>0</v>
      </c>
      <c r="V513" s="14">
        <f>IF(AG513="2",H513,0)</f>
        <v>0</v>
      </c>
      <c r="W513" s="14">
        <f>IF(AG513="2",I513,0)</f>
        <v>0</v>
      </c>
      <c r="X513" s="14">
        <f>IF(AG513="0",J513,0)</f>
        <v>0</v>
      </c>
      <c r="Y513" s="8" t="s">
        <v>406</v>
      </c>
      <c r="Z513" s="5">
        <f>IF(AD513=0,J513,0)</f>
        <v>0</v>
      </c>
      <c r="AA513" s="5">
        <f>IF(AD513=15,J513,0)</f>
        <v>0</v>
      </c>
      <c r="AB513" s="5">
        <f>IF(AD513=21,J513,0)</f>
        <v>0</v>
      </c>
      <c r="AD513" s="14">
        <v>15</v>
      </c>
      <c r="AE513" s="14">
        <f>G513*0</f>
        <v>0</v>
      </c>
      <c r="AF513" s="14">
        <f>G513*(1-0)</f>
        <v>0</v>
      </c>
      <c r="AG513" s="10" t="s">
        <v>13</v>
      </c>
      <c r="AM513" s="14">
        <f>F513*AE513</f>
        <v>0</v>
      </c>
      <c r="AN513" s="14">
        <f>F513*AF513</f>
        <v>0</v>
      </c>
      <c r="AO513" s="15" t="s">
        <v>1704</v>
      </c>
      <c r="AP513" s="15" t="s">
        <v>1735</v>
      </c>
      <c r="AQ513" s="8" t="s">
        <v>1769</v>
      </c>
      <c r="AS513" s="14">
        <f>AM513+AN513</f>
        <v>0</v>
      </c>
      <c r="AT513" s="14">
        <f>G513/(100-AU513)*100</f>
        <v>0</v>
      </c>
      <c r="AU513" s="14">
        <v>0</v>
      </c>
      <c r="AV513" s="14">
        <f>L513</f>
        <v>0</v>
      </c>
    </row>
    <row r="514" spans="1:48" ht="12.75">
      <c r="A514" s="99" t="s">
        <v>180</v>
      </c>
      <c r="B514" s="99" t="s">
        <v>406</v>
      </c>
      <c r="C514" s="99" t="s">
        <v>594</v>
      </c>
      <c r="D514" s="99" t="s">
        <v>1218</v>
      </c>
      <c r="E514" s="99" t="s">
        <v>1641</v>
      </c>
      <c r="F514" s="100">
        <v>2</v>
      </c>
      <c r="G514" s="100">
        <v>0</v>
      </c>
      <c r="H514" s="100">
        <f>F514*AE514</f>
        <v>0</v>
      </c>
      <c r="I514" s="100">
        <f>J514-H514</f>
        <v>0</v>
      </c>
      <c r="J514" s="100">
        <f>F514*G514</f>
        <v>0</v>
      </c>
      <c r="K514" s="100">
        <v>0.00168</v>
      </c>
      <c r="L514" s="100">
        <f>F514*K514</f>
        <v>0.00336</v>
      </c>
      <c r="M514" s="101" t="s">
        <v>1667</v>
      </c>
      <c r="P514" s="14">
        <f>IF(AG514="5",J514,0)</f>
        <v>0</v>
      </c>
      <c r="R514" s="14">
        <f>IF(AG514="1",H514,0)</f>
        <v>0</v>
      </c>
      <c r="S514" s="14">
        <f>IF(AG514="1",I514,0)</f>
        <v>0</v>
      </c>
      <c r="T514" s="14">
        <f>IF(AG514="7",H514,0)</f>
        <v>0</v>
      </c>
      <c r="U514" s="14">
        <f>IF(AG514="7",I514,0)</f>
        <v>0</v>
      </c>
      <c r="V514" s="14">
        <f>IF(AG514="2",H514,0)</f>
        <v>0</v>
      </c>
      <c r="W514" s="14">
        <f>IF(AG514="2",I514,0)</f>
        <v>0</v>
      </c>
      <c r="X514" s="14">
        <f>IF(AG514="0",J514,0)</f>
        <v>0</v>
      </c>
      <c r="Y514" s="8" t="s">
        <v>406</v>
      </c>
      <c r="Z514" s="5">
        <f>IF(AD514=0,J514,0)</f>
        <v>0</v>
      </c>
      <c r="AA514" s="5">
        <f>IF(AD514=15,J514,0)</f>
        <v>0</v>
      </c>
      <c r="AB514" s="5">
        <f>IF(AD514=21,J514,0)</f>
        <v>0</v>
      </c>
      <c r="AD514" s="14">
        <v>15</v>
      </c>
      <c r="AE514" s="14">
        <f>G514*0.161728624535316</f>
        <v>0</v>
      </c>
      <c r="AF514" s="14">
        <f>G514*(1-0.161728624535316)</f>
        <v>0</v>
      </c>
      <c r="AG514" s="10" t="s">
        <v>13</v>
      </c>
      <c r="AM514" s="14">
        <f>F514*AE514</f>
        <v>0</v>
      </c>
      <c r="AN514" s="14">
        <f>F514*AF514</f>
        <v>0</v>
      </c>
      <c r="AO514" s="15" t="s">
        <v>1704</v>
      </c>
      <c r="AP514" s="15" t="s">
        <v>1735</v>
      </c>
      <c r="AQ514" s="8" t="s">
        <v>1769</v>
      </c>
      <c r="AS514" s="14">
        <f>AM514+AN514</f>
        <v>0</v>
      </c>
      <c r="AT514" s="14">
        <f>G514/(100-AU514)*100</f>
        <v>0</v>
      </c>
      <c r="AU514" s="14">
        <v>0</v>
      </c>
      <c r="AV514" s="14">
        <f>L514</f>
        <v>0.00336</v>
      </c>
    </row>
    <row r="515" spans="1:48" ht="12.75">
      <c r="A515" s="99" t="s">
        <v>181</v>
      </c>
      <c r="B515" s="99" t="s">
        <v>406</v>
      </c>
      <c r="C515" s="99" t="s">
        <v>595</v>
      </c>
      <c r="D515" s="99" t="s">
        <v>1219</v>
      </c>
      <c r="E515" s="99" t="s">
        <v>1641</v>
      </c>
      <c r="F515" s="100">
        <v>8</v>
      </c>
      <c r="G515" s="100">
        <v>0</v>
      </c>
      <c r="H515" s="100">
        <f>F515*AE515</f>
        <v>0</v>
      </c>
      <c r="I515" s="100">
        <f>J515-H515</f>
        <v>0</v>
      </c>
      <c r="J515" s="100">
        <f>F515*G515</f>
        <v>0</v>
      </c>
      <c r="K515" s="100">
        <v>0.0009</v>
      </c>
      <c r="L515" s="100">
        <f>F515*K515</f>
        <v>0.0072</v>
      </c>
      <c r="M515" s="101" t="s">
        <v>1667</v>
      </c>
      <c r="P515" s="14">
        <f>IF(AG515="5",J515,0)</f>
        <v>0</v>
      </c>
      <c r="R515" s="14">
        <f>IF(AG515="1",H515,0)</f>
        <v>0</v>
      </c>
      <c r="S515" s="14">
        <f>IF(AG515="1",I515,0)</f>
        <v>0</v>
      </c>
      <c r="T515" s="14">
        <f>IF(AG515="7",H515,0)</f>
        <v>0</v>
      </c>
      <c r="U515" s="14">
        <f>IF(AG515="7",I515,0)</f>
        <v>0</v>
      </c>
      <c r="V515" s="14">
        <f>IF(AG515="2",H515,0)</f>
        <v>0</v>
      </c>
      <c r="W515" s="14">
        <f>IF(AG515="2",I515,0)</f>
        <v>0</v>
      </c>
      <c r="X515" s="14">
        <f>IF(AG515="0",J515,0)</f>
        <v>0</v>
      </c>
      <c r="Y515" s="8" t="s">
        <v>406</v>
      </c>
      <c r="Z515" s="5">
        <f>IF(AD515=0,J515,0)</f>
        <v>0</v>
      </c>
      <c r="AA515" s="5">
        <f>IF(AD515=15,J515,0)</f>
        <v>0</v>
      </c>
      <c r="AB515" s="5">
        <f>IF(AD515=21,J515,0)</f>
        <v>0</v>
      </c>
      <c r="AD515" s="14">
        <v>15</v>
      </c>
      <c r="AE515" s="14">
        <f>G515*0.107455156950673</f>
        <v>0</v>
      </c>
      <c r="AF515" s="14">
        <f>G515*(1-0.107455156950673)</f>
        <v>0</v>
      </c>
      <c r="AG515" s="10" t="s">
        <v>13</v>
      </c>
      <c r="AM515" s="14">
        <f>F515*AE515</f>
        <v>0</v>
      </c>
      <c r="AN515" s="14">
        <f>F515*AF515</f>
        <v>0</v>
      </c>
      <c r="AO515" s="15" t="s">
        <v>1704</v>
      </c>
      <c r="AP515" s="15" t="s">
        <v>1735</v>
      </c>
      <c r="AQ515" s="8" t="s">
        <v>1769</v>
      </c>
      <c r="AS515" s="14">
        <f>AM515+AN515</f>
        <v>0</v>
      </c>
      <c r="AT515" s="14">
        <f>G515/(100-AU515)*100</f>
        <v>0</v>
      </c>
      <c r="AU515" s="14">
        <v>0</v>
      </c>
      <c r="AV515" s="14">
        <f>L515</f>
        <v>0.0072</v>
      </c>
    </row>
    <row r="516" spans="1:13" ht="12.75">
      <c r="A516" s="102"/>
      <c r="B516" s="102"/>
      <c r="C516" s="102"/>
      <c r="D516" s="103" t="s">
        <v>1220</v>
      </c>
      <c r="E516" s="102"/>
      <c r="F516" s="104">
        <v>8</v>
      </c>
      <c r="G516" s="102"/>
      <c r="H516" s="102"/>
      <c r="I516" s="102"/>
      <c r="J516" s="102"/>
      <c r="K516" s="102"/>
      <c r="L516" s="102"/>
      <c r="M516" s="102"/>
    </row>
    <row r="517" spans="1:48" ht="12.75">
      <c r="A517" s="99" t="s">
        <v>182</v>
      </c>
      <c r="B517" s="99" t="s">
        <v>406</v>
      </c>
      <c r="C517" s="99" t="s">
        <v>596</v>
      </c>
      <c r="D517" s="99" t="s">
        <v>1221</v>
      </c>
      <c r="E517" s="99" t="s">
        <v>1641</v>
      </c>
      <c r="F517" s="100">
        <v>2</v>
      </c>
      <c r="G517" s="100">
        <v>0</v>
      </c>
      <c r="H517" s="100">
        <f>F517*AE517</f>
        <v>0</v>
      </c>
      <c r="I517" s="100">
        <f>J517-H517</f>
        <v>0</v>
      </c>
      <c r="J517" s="100">
        <f>F517*G517</f>
        <v>0</v>
      </c>
      <c r="K517" s="100">
        <v>0.0012</v>
      </c>
      <c r="L517" s="100">
        <f>F517*K517</f>
        <v>0.0024</v>
      </c>
      <c r="M517" s="101" t="s">
        <v>1667</v>
      </c>
      <c r="P517" s="14">
        <f>IF(AG517="5",J517,0)</f>
        <v>0</v>
      </c>
      <c r="R517" s="14">
        <f>IF(AG517="1",H517,0)</f>
        <v>0</v>
      </c>
      <c r="S517" s="14">
        <f>IF(AG517="1",I517,0)</f>
        <v>0</v>
      </c>
      <c r="T517" s="14">
        <f>IF(AG517="7",H517,0)</f>
        <v>0</v>
      </c>
      <c r="U517" s="14">
        <f>IF(AG517="7",I517,0)</f>
        <v>0</v>
      </c>
      <c r="V517" s="14">
        <f>IF(AG517="2",H517,0)</f>
        <v>0</v>
      </c>
      <c r="W517" s="14">
        <f>IF(AG517="2",I517,0)</f>
        <v>0</v>
      </c>
      <c r="X517" s="14">
        <f>IF(AG517="0",J517,0)</f>
        <v>0</v>
      </c>
      <c r="Y517" s="8" t="s">
        <v>406</v>
      </c>
      <c r="Z517" s="5">
        <f>IF(AD517=0,J517,0)</f>
        <v>0</v>
      </c>
      <c r="AA517" s="5">
        <f>IF(AD517=15,J517,0)</f>
        <v>0</v>
      </c>
      <c r="AB517" s="5">
        <f>IF(AD517=21,J517,0)</f>
        <v>0</v>
      </c>
      <c r="AD517" s="14">
        <v>15</v>
      </c>
      <c r="AE517" s="14">
        <f>G517*0.117141527001862</f>
        <v>0</v>
      </c>
      <c r="AF517" s="14">
        <f>G517*(1-0.117141527001862)</f>
        <v>0</v>
      </c>
      <c r="AG517" s="10" t="s">
        <v>13</v>
      </c>
      <c r="AM517" s="14">
        <f>F517*AE517</f>
        <v>0</v>
      </c>
      <c r="AN517" s="14">
        <f>F517*AF517</f>
        <v>0</v>
      </c>
      <c r="AO517" s="15" t="s">
        <v>1704</v>
      </c>
      <c r="AP517" s="15" t="s">
        <v>1735</v>
      </c>
      <c r="AQ517" s="8" t="s">
        <v>1769</v>
      </c>
      <c r="AS517" s="14">
        <f>AM517+AN517</f>
        <v>0</v>
      </c>
      <c r="AT517" s="14">
        <f>G517/(100-AU517)*100</f>
        <v>0</v>
      </c>
      <c r="AU517" s="14">
        <v>0</v>
      </c>
      <c r="AV517" s="14">
        <f>L517</f>
        <v>0.0024</v>
      </c>
    </row>
    <row r="518" spans="1:13" ht="12.75">
      <c r="A518" s="102"/>
      <c r="B518" s="102"/>
      <c r="C518" s="102"/>
      <c r="D518" s="103" t="s">
        <v>1222</v>
      </c>
      <c r="E518" s="102"/>
      <c r="F518" s="104">
        <v>2</v>
      </c>
      <c r="G518" s="102"/>
      <c r="H518" s="102"/>
      <c r="I518" s="102"/>
      <c r="J518" s="102"/>
      <c r="K518" s="102"/>
      <c r="L518" s="102"/>
      <c r="M518" s="102"/>
    </row>
    <row r="519" spans="1:48" ht="12.75">
      <c r="A519" s="99" t="s">
        <v>183</v>
      </c>
      <c r="B519" s="99" t="s">
        <v>406</v>
      </c>
      <c r="C519" s="99" t="s">
        <v>597</v>
      </c>
      <c r="D519" s="99" t="s">
        <v>1223</v>
      </c>
      <c r="E519" s="99" t="s">
        <v>1641</v>
      </c>
      <c r="F519" s="100">
        <v>2</v>
      </c>
      <c r="G519" s="100">
        <v>0</v>
      </c>
      <c r="H519" s="100">
        <f aca="true" t="shared" si="20" ref="H519:H533">F519*AE519</f>
        <v>0</v>
      </c>
      <c r="I519" s="100">
        <f aca="true" t="shared" si="21" ref="I519:I533">J519-H519</f>
        <v>0</v>
      </c>
      <c r="J519" s="100">
        <f aca="true" t="shared" si="22" ref="J519:J533">F519*G519</f>
        <v>0</v>
      </c>
      <c r="K519" s="100">
        <v>0.00165</v>
      </c>
      <c r="L519" s="100">
        <f aca="true" t="shared" si="23" ref="L519:L533">F519*K519</f>
        <v>0.0033</v>
      </c>
      <c r="M519" s="101" t="s">
        <v>1667</v>
      </c>
      <c r="P519" s="14">
        <f aca="true" t="shared" si="24" ref="P519:P533">IF(AG519="5",J519,0)</f>
        <v>0</v>
      </c>
      <c r="R519" s="14">
        <f aca="true" t="shared" si="25" ref="R519:R533">IF(AG519="1",H519,0)</f>
        <v>0</v>
      </c>
      <c r="S519" s="14">
        <f aca="true" t="shared" si="26" ref="S519:S533">IF(AG519="1",I519,0)</f>
        <v>0</v>
      </c>
      <c r="T519" s="14">
        <f aca="true" t="shared" si="27" ref="T519:T533">IF(AG519="7",H519,0)</f>
        <v>0</v>
      </c>
      <c r="U519" s="14">
        <f aca="true" t="shared" si="28" ref="U519:U533">IF(AG519="7",I519,0)</f>
        <v>0</v>
      </c>
      <c r="V519" s="14">
        <f aca="true" t="shared" si="29" ref="V519:V533">IF(AG519="2",H519,0)</f>
        <v>0</v>
      </c>
      <c r="W519" s="14">
        <f aca="true" t="shared" si="30" ref="W519:W533">IF(AG519="2",I519,0)</f>
        <v>0</v>
      </c>
      <c r="X519" s="14">
        <f aca="true" t="shared" si="31" ref="X519:X533">IF(AG519="0",J519,0)</f>
        <v>0</v>
      </c>
      <c r="Y519" s="8" t="s">
        <v>406</v>
      </c>
      <c r="Z519" s="5">
        <f aca="true" t="shared" si="32" ref="Z519:Z533">IF(AD519=0,J519,0)</f>
        <v>0</v>
      </c>
      <c r="AA519" s="5">
        <f aca="true" t="shared" si="33" ref="AA519:AA533">IF(AD519=15,J519,0)</f>
        <v>0</v>
      </c>
      <c r="AB519" s="5">
        <f aca="true" t="shared" si="34" ref="AB519:AB533">IF(AD519=21,J519,0)</f>
        <v>0</v>
      </c>
      <c r="AD519" s="14">
        <v>15</v>
      </c>
      <c r="AE519" s="14">
        <f>G519*0.146721569069856</f>
        <v>0</v>
      </c>
      <c r="AF519" s="14">
        <f>G519*(1-0.146721569069856)</f>
        <v>0</v>
      </c>
      <c r="AG519" s="10" t="s">
        <v>13</v>
      </c>
      <c r="AM519" s="14">
        <f aca="true" t="shared" si="35" ref="AM519:AM533">F519*AE519</f>
        <v>0</v>
      </c>
      <c r="AN519" s="14">
        <f aca="true" t="shared" si="36" ref="AN519:AN533">F519*AF519</f>
        <v>0</v>
      </c>
      <c r="AO519" s="15" t="s">
        <v>1704</v>
      </c>
      <c r="AP519" s="15" t="s">
        <v>1735</v>
      </c>
      <c r="AQ519" s="8" t="s">
        <v>1769</v>
      </c>
      <c r="AS519" s="14">
        <f aca="true" t="shared" si="37" ref="AS519:AS533">AM519+AN519</f>
        <v>0</v>
      </c>
      <c r="AT519" s="14">
        <f aca="true" t="shared" si="38" ref="AT519:AT533">G519/(100-AU519)*100</f>
        <v>0</v>
      </c>
      <c r="AU519" s="14">
        <v>0</v>
      </c>
      <c r="AV519" s="14">
        <f aca="true" t="shared" si="39" ref="AV519:AV533">L519</f>
        <v>0.0033</v>
      </c>
    </row>
    <row r="520" spans="1:48" ht="12.75">
      <c r="A520" s="99" t="s">
        <v>184</v>
      </c>
      <c r="B520" s="99" t="s">
        <v>406</v>
      </c>
      <c r="C520" s="99" t="s">
        <v>598</v>
      </c>
      <c r="D520" s="99" t="s">
        <v>1224</v>
      </c>
      <c r="E520" s="99" t="s">
        <v>1644</v>
      </c>
      <c r="F520" s="100">
        <v>1</v>
      </c>
      <c r="G520" s="100">
        <v>0</v>
      </c>
      <c r="H520" s="100">
        <f t="shared" si="20"/>
        <v>0</v>
      </c>
      <c r="I520" s="100">
        <f t="shared" si="21"/>
        <v>0</v>
      </c>
      <c r="J520" s="100">
        <f t="shared" si="22"/>
        <v>0</v>
      </c>
      <c r="K520" s="100">
        <v>0</v>
      </c>
      <c r="L520" s="100">
        <f t="shared" si="23"/>
        <v>0</v>
      </c>
      <c r="M520" s="101" t="s">
        <v>1667</v>
      </c>
      <c r="P520" s="14">
        <f t="shared" si="24"/>
        <v>0</v>
      </c>
      <c r="R520" s="14">
        <f t="shared" si="25"/>
        <v>0</v>
      </c>
      <c r="S520" s="14">
        <f t="shared" si="26"/>
        <v>0</v>
      </c>
      <c r="T520" s="14">
        <f t="shared" si="27"/>
        <v>0</v>
      </c>
      <c r="U520" s="14">
        <f t="shared" si="28"/>
        <v>0</v>
      </c>
      <c r="V520" s="14">
        <f t="shared" si="29"/>
        <v>0</v>
      </c>
      <c r="W520" s="14">
        <f t="shared" si="30"/>
        <v>0</v>
      </c>
      <c r="X520" s="14">
        <f t="shared" si="31"/>
        <v>0</v>
      </c>
      <c r="Y520" s="8" t="s">
        <v>406</v>
      </c>
      <c r="Z520" s="5">
        <f t="shared" si="32"/>
        <v>0</v>
      </c>
      <c r="AA520" s="5">
        <f t="shared" si="33"/>
        <v>0</v>
      </c>
      <c r="AB520" s="5">
        <f t="shared" si="34"/>
        <v>0</v>
      </c>
      <c r="AD520" s="14">
        <v>15</v>
      </c>
      <c r="AE520" s="14">
        <f>G520*0</f>
        <v>0</v>
      </c>
      <c r="AF520" s="14">
        <f>G520*(1-0)</f>
        <v>0</v>
      </c>
      <c r="AG520" s="10" t="s">
        <v>13</v>
      </c>
      <c r="AM520" s="14">
        <f t="shared" si="35"/>
        <v>0</v>
      </c>
      <c r="AN520" s="14">
        <f t="shared" si="36"/>
        <v>0</v>
      </c>
      <c r="AO520" s="15" t="s">
        <v>1704</v>
      </c>
      <c r="AP520" s="15" t="s">
        <v>1735</v>
      </c>
      <c r="AQ520" s="8" t="s">
        <v>1769</v>
      </c>
      <c r="AS520" s="14">
        <f t="shared" si="37"/>
        <v>0</v>
      </c>
      <c r="AT520" s="14">
        <f t="shared" si="38"/>
        <v>0</v>
      </c>
      <c r="AU520" s="14">
        <v>0</v>
      </c>
      <c r="AV520" s="14">
        <f t="shared" si="39"/>
        <v>0</v>
      </c>
    </row>
    <row r="521" spans="1:48" ht="12.75">
      <c r="A521" s="99" t="s">
        <v>185</v>
      </c>
      <c r="B521" s="99" t="s">
        <v>406</v>
      </c>
      <c r="C521" s="99" t="s">
        <v>596</v>
      </c>
      <c r="D521" s="99" t="s">
        <v>1225</v>
      </c>
      <c r="E521" s="99" t="s">
        <v>1644</v>
      </c>
      <c r="F521" s="100">
        <v>1</v>
      </c>
      <c r="G521" s="100">
        <v>0</v>
      </c>
      <c r="H521" s="100">
        <f t="shared" si="20"/>
        <v>0</v>
      </c>
      <c r="I521" s="100">
        <f t="shared" si="21"/>
        <v>0</v>
      </c>
      <c r="J521" s="100">
        <f t="shared" si="22"/>
        <v>0</v>
      </c>
      <c r="K521" s="100">
        <v>0.0012</v>
      </c>
      <c r="L521" s="100">
        <f t="shared" si="23"/>
        <v>0.0012</v>
      </c>
      <c r="M521" s="101" t="s">
        <v>1669</v>
      </c>
      <c r="P521" s="14">
        <f t="shared" si="24"/>
        <v>0</v>
      </c>
      <c r="R521" s="14">
        <f t="shared" si="25"/>
        <v>0</v>
      </c>
      <c r="S521" s="14">
        <f t="shared" si="26"/>
        <v>0</v>
      </c>
      <c r="T521" s="14">
        <f t="shared" si="27"/>
        <v>0</v>
      </c>
      <c r="U521" s="14">
        <f t="shared" si="28"/>
        <v>0</v>
      </c>
      <c r="V521" s="14">
        <f t="shared" si="29"/>
        <v>0</v>
      </c>
      <c r="W521" s="14">
        <f t="shared" si="30"/>
        <v>0</v>
      </c>
      <c r="X521" s="14">
        <f t="shared" si="31"/>
        <v>0</v>
      </c>
      <c r="Y521" s="8" t="s">
        <v>406</v>
      </c>
      <c r="Z521" s="5">
        <f t="shared" si="32"/>
        <v>0</v>
      </c>
      <c r="AA521" s="5">
        <f t="shared" si="33"/>
        <v>0</v>
      </c>
      <c r="AB521" s="5">
        <f t="shared" si="34"/>
        <v>0</v>
      </c>
      <c r="AD521" s="14">
        <v>15</v>
      </c>
      <c r="AE521" s="14">
        <f>G521*0.122505617977528</f>
        <v>0</v>
      </c>
      <c r="AF521" s="14">
        <f>G521*(1-0.122505617977528)</f>
        <v>0</v>
      </c>
      <c r="AG521" s="10" t="s">
        <v>13</v>
      </c>
      <c r="AM521" s="14">
        <f t="shared" si="35"/>
        <v>0</v>
      </c>
      <c r="AN521" s="14">
        <f t="shared" si="36"/>
        <v>0</v>
      </c>
      <c r="AO521" s="15" t="s">
        <v>1704</v>
      </c>
      <c r="AP521" s="15" t="s">
        <v>1735</v>
      </c>
      <c r="AQ521" s="8" t="s">
        <v>1769</v>
      </c>
      <c r="AS521" s="14">
        <f t="shared" si="37"/>
        <v>0</v>
      </c>
      <c r="AT521" s="14">
        <f t="shared" si="38"/>
        <v>0</v>
      </c>
      <c r="AU521" s="14">
        <v>0</v>
      </c>
      <c r="AV521" s="14">
        <f t="shared" si="39"/>
        <v>0.0012</v>
      </c>
    </row>
    <row r="522" spans="1:48" ht="12.75">
      <c r="A522" s="99" t="s">
        <v>186</v>
      </c>
      <c r="B522" s="99" t="s">
        <v>406</v>
      </c>
      <c r="C522" s="99" t="s">
        <v>599</v>
      </c>
      <c r="D522" s="99" t="s">
        <v>1226</v>
      </c>
      <c r="E522" s="99" t="s">
        <v>1647</v>
      </c>
      <c r="F522" s="100">
        <v>10</v>
      </c>
      <c r="G522" s="100">
        <v>0</v>
      </c>
      <c r="H522" s="100">
        <f t="shared" si="20"/>
        <v>0</v>
      </c>
      <c r="I522" s="100">
        <f t="shared" si="21"/>
        <v>0</v>
      </c>
      <c r="J522" s="100">
        <f t="shared" si="22"/>
        <v>0</v>
      </c>
      <c r="K522" s="100">
        <v>0</v>
      </c>
      <c r="L522" s="100">
        <f t="shared" si="23"/>
        <v>0</v>
      </c>
      <c r="M522" s="101" t="s">
        <v>1669</v>
      </c>
      <c r="P522" s="14">
        <f t="shared" si="24"/>
        <v>0</v>
      </c>
      <c r="R522" s="14">
        <f t="shared" si="25"/>
        <v>0</v>
      </c>
      <c r="S522" s="14">
        <f t="shared" si="26"/>
        <v>0</v>
      </c>
      <c r="T522" s="14">
        <f t="shared" si="27"/>
        <v>0</v>
      </c>
      <c r="U522" s="14">
        <f t="shared" si="28"/>
        <v>0</v>
      </c>
      <c r="V522" s="14">
        <f t="shared" si="29"/>
        <v>0</v>
      </c>
      <c r="W522" s="14">
        <f t="shared" si="30"/>
        <v>0</v>
      </c>
      <c r="X522" s="14">
        <f t="shared" si="31"/>
        <v>0</v>
      </c>
      <c r="Y522" s="8" t="s">
        <v>406</v>
      </c>
      <c r="Z522" s="5">
        <f t="shared" si="32"/>
        <v>0</v>
      </c>
      <c r="AA522" s="5">
        <f t="shared" si="33"/>
        <v>0</v>
      </c>
      <c r="AB522" s="5">
        <f t="shared" si="34"/>
        <v>0</v>
      </c>
      <c r="AD522" s="14">
        <v>15</v>
      </c>
      <c r="AE522" s="14">
        <f>G522*0</f>
        <v>0</v>
      </c>
      <c r="AF522" s="14">
        <f>G522*(1-0)</f>
        <v>0</v>
      </c>
      <c r="AG522" s="10" t="s">
        <v>13</v>
      </c>
      <c r="AM522" s="14">
        <f t="shared" si="35"/>
        <v>0</v>
      </c>
      <c r="AN522" s="14">
        <f t="shared" si="36"/>
        <v>0</v>
      </c>
      <c r="AO522" s="15" t="s">
        <v>1704</v>
      </c>
      <c r="AP522" s="15" t="s">
        <v>1735</v>
      </c>
      <c r="AQ522" s="8" t="s">
        <v>1769</v>
      </c>
      <c r="AS522" s="14">
        <f t="shared" si="37"/>
        <v>0</v>
      </c>
      <c r="AT522" s="14">
        <f t="shared" si="38"/>
        <v>0</v>
      </c>
      <c r="AU522" s="14">
        <v>0</v>
      </c>
      <c r="AV522" s="14">
        <f t="shared" si="39"/>
        <v>0</v>
      </c>
    </row>
    <row r="523" spans="1:48" ht="12.75">
      <c r="A523" s="99" t="s">
        <v>187</v>
      </c>
      <c r="B523" s="99" t="s">
        <v>406</v>
      </c>
      <c r="C523" s="99" t="s">
        <v>600</v>
      </c>
      <c r="D523" s="99" t="s">
        <v>1227</v>
      </c>
      <c r="E523" s="99" t="s">
        <v>1644</v>
      </c>
      <c r="F523" s="100">
        <v>10</v>
      </c>
      <c r="G523" s="100">
        <v>0</v>
      </c>
      <c r="H523" s="100">
        <f t="shared" si="20"/>
        <v>0</v>
      </c>
      <c r="I523" s="100">
        <f t="shared" si="21"/>
        <v>0</v>
      </c>
      <c r="J523" s="100">
        <f t="shared" si="22"/>
        <v>0</v>
      </c>
      <c r="K523" s="100">
        <v>0</v>
      </c>
      <c r="L523" s="100">
        <f t="shared" si="23"/>
        <v>0</v>
      </c>
      <c r="M523" s="101" t="s">
        <v>1667</v>
      </c>
      <c r="P523" s="14">
        <f t="shared" si="24"/>
        <v>0</v>
      </c>
      <c r="R523" s="14">
        <f t="shared" si="25"/>
        <v>0</v>
      </c>
      <c r="S523" s="14">
        <f t="shared" si="26"/>
        <v>0</v>
      </c>
      <c r="T523" s="14">
        <f t="shared" si="27"/>
        <v>0</v>
      </c>
      <c r="U523" s="14">
        <f t="shared" si="28"/>
        <v>0</v>
      </c>
      <c r="V523" s="14">
        <f t="shared" si="29"/>
        <v>0</v>
      </c>
      <c r="W523" s="14">
        <f t="shared" si="30"/>
        <v>0</v>
      </c>
      <c r="X523" s="14">
        <f t="shared" si="31"/>
        <v>0</v>
      </c>
      <c r="Y523" s="8" t="s">
        <v>406</v>
      </c>
      <c r="Z523" s="5">
        <f t="shared" si="32"/>
        <v>0</v>
      </c>
      <c r="AA523" s="5">
        <f t="shared" si="33"/>
        <v>0</v>
      </c>
      <c r="AB523" s="5">
        <f t="shared" si="34"/>
        <v>0</v>
      </c>
      <c r="AD523" s="14">
        <v>15</v>
      </c>
      <c r="AE523" s="14">
        <f>G523*0</f>
        <v>0</v>
      </c>
      <c r="AF523" s="14">
        <f>G523*(1-0)</f>
        <v>0</v>
      </c>
      <c r="AG523" s="10" t="s">
        <v>13</v>
      </c>
      <c r="AM523" s="14">
        <f t="shared" si="35"/>
        <v>0</v>
      </c>
      <c r="AN523" s="14">
        <f t="shared" si="36"/>
        <v>0</v>
      </c>
      <c r="AO523" s="15" t="s">
        <v>1704</v>
      </c>
      <c r="AP523" s="15" t="s">
        <v>1735</v>
      </c>
      <c r="AQ523" s="8" t="s">
        <v>1769</v>
      </c>
      <c r="AS523" s="14">
        <f t="shared" si="37"/>
        <v>0</v>
      </c>
      <c r="AT523" s="14">
        <f t="shared" si="38"/>
        <v>0</v>
      </c>
      <c r="AU523" s="14">
        <v>0</v>
      </c>
      <c r="AV523" s="14">
        <f t="shared" si="39"/>
        <v>0</v>
      </c>
    </row>
    <row r="524" spans="1:48" ht="12.75">
      <c r="A524" s="105" t="s">
        <v>188</v>
      </c>
      <c r="B524" s="105" t="s">
        <v>406</v>
      </c>
      <c r="C524" s="105" t="s">
        <v>601</v>
      </c>
      <c r="D524" s="105" t="s">
        <v>1228</v>
      </c>
      <c r="E524" s="105" t="s">
        <v>1641</v>
      </c>
      <c r="F524" s="106">
        <v>1</v>
      </c>
      <c r="G524" s="106">
        <v>0</v>
      </c>
      <c r="H524" s="106">
        <f t="shared" si="20"/>
        <v>0</v>
      </c>
      <c r="I524" s="106">
        <f t="shared" si="21"/>
        <v>0</v>
      </c>
      <c r="J524" s="106">
        <f t="shared" si="22"/>
        <v>0</v>
      </c>
      <c r="K524" s="106">
        <v>0.0284</v>
      </c>
      <c r="L524" s="106">
        <f t="shared" si="23"/>
        <v>0.0284</v>
      </c>
      <c r="M524" s="107" t="s">
        <v>1667</v>
      </c>
      <c r="P524" s="14">
        <f t="shared" si="24"/>
        <v>0</v>
      </c>
      <c r="R524" s="14">
        <f t="shared" si="25"/>
        <v>0</v>
      </c>
      <c r="S524" s="14">
        <f t="shared" si="26"/>
        <v>0</v>
      </c>
      <c r="T524" s="14">
        <f t="shared" si="27"/>
        <v>0</v>
      </c>
      <c r="U524" s="14">
        <f t="shared" si="28"/>
        <v>0</v>
      </c>
      <c r="V524" s="14">
        <f t="shared" si="29"/>
        <v>0</v>
      </c>
      <c r="W524" s="14">
        <f t="shared" si="30"/>
        <v>0</v>
      </c>
      <c r="X524" s="14">
        <f t="shared" si="31"/>
        <v>0</v>
      </c>
      <c r="Y524" s="8" t="s">
        <v>406</v>
      </c>
      <c r="Z524" s="6">
        <f t="shared" si="32"/>
        <v>0</v>
      </c>
      <c r="AA524" s="6">
        <f t="shared" si="33"/>
        <v>0</v>
      </c>
      <c r="AB524" s="6">
        <f t="shared" si="34"/>
        <v>0</v>
      </c>
      <c r="AD524" s="14">
        <v>15</v>
      </c>
      <c r="AE524" s="14">
        <f aca="true" t="shared" si="40" ref="AE524:AE533">G524*1</f>
        <v>0</v>
      </c>
      <c r="AF524" s="14">
        <f aca="true" t="shared" si="41" ref="AF524:AF533">G524*(1-1)</f>
        <v>0</v>
      </c>
      <c r="AG524" s="11" t="s">
        <v>13</v>
      </c>
      <c r="AM524" s="14">
        <f t="shared" si="35"/>
        <v>0</v>
      </c>
      <c r="AN524" s="14">
        <f t="shared" si="36"/>
        <v>0</v>
      </c>
      <c r="AO524" s="15" t="s">
        <v>1704</v>
      </c>
      <c r="AP524" s="15" t="s">
        <v>1735</v>
      </c>
      <c r="AQ524" s="8" t="s">
        <v>1769</v>
      </c>
      <c r="AS524" s="14">
        <f t="shared" si="37"/>
        <v>0</v>
      </c>
      <c r="AT524" s="14">
        <f t="shared" si="38"/>
        <v>0</v>
      </c>
      <c r="AU524" s="14">
        <v>0</v>
      </c>
      <c r="AV524" s="14">
        <f t="shared" si="39"/>
        <v>0.0284</v>
      </c>
    </row>
    <row r="525" spans="1:48" ht="12.75">
      <c r="A525" s="105" t="s">
        <v>189</v>
      </c>
      <c r="B525" s="105" t="s">
        <v>406</v>
      </c>
      <c r="C525" s="105" t="s">
        <v>602</v>
      </c>
      <c r="D525" s="105" t="s">
        <v>1229</v>
      </c>
      <c r="E525" s="105" t="s">
        <v>1641</v>
      </c>
      <c r="F525" s="106">
        <v>1</v>
      </c>
      <c r="G525" s="106">
        <v>0</v>
      </c>
      <c r="H525" s="106">
        <f t="shared" si="20"/>
        <v>0</v>
      </c>
      <c r="I525" s="106">
        <f t="shared" si="21"/>
        <v>0</v>
      </c>
      <c r="J525" s="106">
        <f t="shared" si="22"/>
        <v>0</v>
      </c>
      <c r="K525" s="106">
        <v>0.028</v>
      </c>
      <c r="L525" s="106">
        <f t="shared" si="23"/>
        <v>0.028</v>
      </c>
      <c r="M525" s="107" t="s">
        <v>1667</v>
      </c>
      <c r="P525" s="14">
        <f t="shared" si="24"/>
        <v>0</v>
      </c>
      <c r="R525" s="14">
        <f t="shared" si="25"/>
        <v>0</v>
      </c>
      <c r="S525" s="14">
        <f t="shared" si="26"/>
        <v>0</v>
      </c>
      <c r="T525" s="14">
        <f t="shared" si="27"/>
        <v>0</v>
      </c>
      <c r="U525" s="14">
        <f t="shared" si="28"/>
        <v>0</v>
      </c>
      <c r="V525" s="14">
        <f t="shared" si="29"/>
        <v>0</v>
      </c>
      <c r="W525" s="14">
        <f t="shared" si="30"/>
        <v>0</v>
      </c>
      <c r="X525" s="14">
        <f t="shared" si="31"/>
        <v>0</v>
      </c>
      <c r="Y525" s="8" t="s">
        <v>406</v>
      </c>
      <c r="Z525" s="6">
        <f t="shared" si="32"/>
        <v>0</v>
      </c>
      <c r="AA525" s="6">
        <f t="shared" si="33"/>
        <v>0</v>
      </c>
      <c r="AB525" s="6">
        <f t="shared" si="34"/>
        <v>0</v>
      </c>
      <c r="AD525" s="14">
        <v>15</v>
      </c>
      <c r="AE525" s="14">
        <f t="shared" si="40"/>
        <v>0</v>
      </c>
      <c r="AF525" s="14">
        <f t="shared" si="41"/>
        <v>0</v>
      </c>
      <c r="AG525" s="11" t="s">
        <v>13</v>
      </c>
      <c r="AM525" s="14">
        <f t="shared" si="35"/>
        <v>0</v>
      </c>
      <c r="AN525" s="14">
        <f t="shared" si="36"/>
        <v>0</v>
      </c>
      <c r="AO525" s="15" t="s">
        <v>1704</v>
      </c>
      <c r="AP525" s="15" t="s">
        <v>1735</v>
      </c>
      <c r="AQ525" s="8" t="s">
        <v>1769</v>
      </c>
      <c r="AS525" s="14">
        <f t="shared" si="37"/>
        <v>0</v>
      </c>
      <c r="AT525" s="14">
        <f t="shared" si="38"/>
        <v>0</v>
      </c>
      <c r="AU525" s="14">
        <v>0</v>
      </c>
      <c r="AV525" s="14">
        <f t="shared" si="39"/>
        <v>0.028</v>
      </c>
    </row>
    <row r="526" spans="1:48" ht="12.75">
      <c r="A526" s="105" t="s">
        <v>190</v>
      </c>
      <c r="B526" s="105" t="s">
        <v>406</v>
      </c>
      <c r="C526" s="105" t="s">
        <v>603</v>
      </c>
      <c r="D526" s="105" t="s">
        <v>1230</v>
      </c>
      <c r="E526" s="105" t="s">
        <v>1641</v>
      </c>
      <c r="F526" s="106">
        <v>3</v>
      </c>
      <c r="G526" s="106">
        <v>0</v>
      </c>
      <c r="H526" s="106">
        <f t="shared" si="20"/>
        <v>0</v>
      </c>
      <c r="I526" s="106">
        <f t="shared" si="21"/>
        <v>0</v>
      </c>
      <c r="J526" s="106">
        <f t="shared" si="22"/>
        <v>0</v>
      </c>
      <c r="K526" s="106">
        <v>0.027</v>
      </c>
      <c r="L526" s="106">
        <f t="shared" si="23"/>
        <v>0.081</v>
      </c>
      <c r="M526" s="107" t="s">
        <v>1667</v>
      </c>
      <c r="P526" s="14">
        <f t="shared" si="24"/>
        <v>0</v>
      </c>
      <c r="R526" s="14">
        <f t="shared" si="25"/>
        <v>0</v>
      </c>
      <c r="S526" s="14">
        <f t="shared" si="26"/>
        <v>0</v>
      </c>
      <c r="T526" s="14">
        <f t="shared" si="27"/>
        <v>0</v>
      </c>
      <c r="U526" s="14">
        <f t="shared" si="28"/>
        <v>0</v>
      </c>
      <c r="V526" s="14">
        <f t="shared" si="29"/>
        <v>0</v>
      </c>
      <c r="W526" s="14">
        <f t="shared" si="30"/>
        <v>0</v>
      </c>
      <c r="X526" s="14">
        <f t="shared" si="31"/>
        <v>0</v>
      </c>
      <c r="Y526" s="8" t="s">
        <v>406</v>
      </c>
      <c r="Z526" s="6">
        <f t="shared" si="32"/>
        <v>0</v>
      </c>
      <c r="AA526" s="6">
        <f t="shared" si="33"/>
        <v>0</v>
      </c>
      <c r="AB526" s="6">
        <f t="shared" si="34"/>
        <v>0</v>
      </c>
      <c r="AD526" s="14">
        <v>15</v>
      </c>
      <c r="AE526" s="14">
        <f t="shared" si="40"/>
        <v>0</v>
      </c>
      <c r="AF526" s="14">
        <f t="shared" si="41"/>
        <v>0</v>
      </c>
      <c r="AG526" s="11" t="s">
        <v>13</v>
      </c>
      <c r="AM526" s="14">
        <f t="shared" si="35"/>
        <v>0</v>
      </c>
      <c r="AN526" s="14">
        <f t="shared" si="36"/>
        <v>0</v>
      </c>
      <c r="AO526" s="15" t="s">
        <v>1704</v>
      </c>
      <c r="AP526" s="15" t="s">
        <v>1735</v>
      </c>
      <c r="AQ526" s="8" t="s">
        <v>1769</v>
      </c>
      <c r="AS526" s="14">
        <f t="shared" si="37"/>
        <v>0</v>
      </c>
      <c r="AT526" s="14">
        <f t="shared" si="38"/>
        <v>0</v>
      </c>
      <c r="AU526" s="14">
        <v>0</v>
      </c>
      <c r="AV526" s="14">
        <f t="shared" si="39"/>
        <v>0.081</v>
      </c>
    </row>
    <row r="527" spans="1:48" ht="12.75">
      <c r="A527" s="105" t="s">
        <v>191</v>
      </c>
      <c r="B527" s="105" t="s">
        <v>406</v>
      </c>
      <c r="C527" s="105" t="s">
        <v>604</v>
      </c>
      <c r="D527" s="105" t="s">
        <v>1231</v>
      </c>
      <c r="E527" s="105" t="s">
        <v>1641</v>
      </c>
      <c r="F527" s="106">
        <v>1</v>
      </c>
      <c r="G527" s="106">
        <v>0</v>
      </c>
      <c r="H527" s="106">
        <f t="shared" si="20"/>
        <v>0</v>
      </c>
      <c r="I527" s="106">
        <f t="shared" si="21"/>
        <v>0</v>
      </c>
      <c r="J527" s="106">
        <f t="shared" si="22"/>
        <v>0</v>
      </c>
      <c r="K527" s="106">
        <v>0.0234</v>
      </c>
      <c r="L527" s="106">
        <f t="shared" si="23"/>
        <v>0.0234</v>
      </c>
      <c r="M527" s="107" t="s">
        <v>1667</v>
      </c>
      <c r="P527" s="14">
        <f t="shared" si="24"/>
        <v>0</v>
      </c>
      <c r="R527" s="14">
        <f t="shared" si="25"/>
        <v>0</v>
      </c>
      <c r="S527" s="14">
        <f t="shared" si="26"/>
        <v>0</v>
      </c>
      <c r="T527" s="14">
        <f t="shared" si="27"/>
        <v>0</v>
      </c>
      <c r="U527" s="14">
        <f t="shared" si="28"/>
        <v>0</v>
      </c>
      <c r="V527" s="14">
        <f t="shared" si="29"/>
        <v>0</v>
      </c>
      <c r="W527" s="14">
        <f t="shared" si="30"/>
        <v>0</v>
      </c>
      <c r="X527" s="14">
        <f t="shared" si="31"/>
        <v>0</v>
      </c>
      <c r="Y527" s="8" t="s">
        <v>406</v>
      </c>
      <c r="Z527" s="6">
        <f t="shared" si="32"/>
        <v>0</v>
      </c>
      <c r="AA527" s="6">
        <f t="shared" si="33"/>
        <v>0</v>
      </c>
      <c r="AB527" s="6">
        <f t="shared" si="34"/>
        <v>0</v>
      </c>
      <c r="AD527" s="14">
        <v>15</v>
      </c>
      <c r="AE527" s="14">
        <f t="shared" si="40"/>
        <v>0</v>
      </c>
      <c r="AF527" s="14">
        <f t="shared" si="41"/>
        <v>0</v>
      </c>
      <c r="AG527" s="11" t="s">
        <v>13</v>
      </c>
      <c r="AM527" s="14">
        <f t="shared" si="35"/>
        <v>0</v>
      </c>
      <c r="AN527" s="14">
        <f t="shared" si="36"/>
        <v>0</v>
      </c>
      <c r="AO527" s="15" t="s">
        <v>1704</v>
      </c>
      <c r="AP527" s="15" t="s">
        <v>1735</v>
      </c>
      <c r="AQ527" s="8" t="s">
        <v>1769</v>
      </c>
      <c r="AS527" s="14">
        <f t="shared" si="37"/>
        <v>0</v>
      </c>
      <c r="AT527" s="14">
        <f t="shared" si="38"/>
        <v>0</v>
      </c>
      <c r="AU527" s="14">
        <v>0</v>
      </c>
      <c r="AV527" s="14">
        <f t="shared" si="39"/>
        <v>0.0234</v>
      </c>
    </row>
    <row r="528" spans="1:48" ht="12.75">
      <c r="A528" s="105" t="s">
        <v>192</v>
      </c>
      <c r="B528" s="105" t="s">
        <v>406</v>
      </c>
      <c r="C528" s="105" t="s">
        <v>605</v>
      </c>
      <c r="D528" s="105" t="s">
        <v>1232</v>
      </c>
      <c r="E528" s="105" t="s">
        <v>1641</v>
      </c>
      <c r="F528" s="106">
        <v>1</v>
      </c>
      <c r="G528" s="106">
        <v>0</v>
      </c>
      <c r="H528" s="106">
        <f t="shared" si="20"/>
        <v>0</v>
      </c>
      <c r="I528" s="106">
        <f t="shared" si="21"/>
        <v>0</v>
      </c>
      <c r="J528" s="106">
        <f t="shared" si="22"/>
        <v>0</v>
      </c>
      <c r="K528" s="106">
        <v>0.0182</v>
      </c>
      <c r="L528" s="106">
        <f t="shared" si="23"/>
        <v>0.0182</v>
      </c>
      <c r="M528" s="107" t="s">
        <v>1667</v>
      </c>
      <c r="P528" s="14">
        <f t="shared" si="24"/>
        <v>0</v>
      </c>
      <c r="R528" s="14">
        <f t="shared" si="25"/>
        <v>0</v>
      </c>
      <c r="S528" s="14">
        <f t="shared" si="26"/>
        <v>0</v>
      </c>
      <c r="T528" s="14">
        <f t="shared" si="27"/>
        <v>0</v>
      </c>
      <c r="U528" s="14">
        <f t="shared" si="28"/>
        <v>0</v>
      </c>
      <c r="V528" s="14">
        <f t="shared" si="29"/>
        <v>0</v>
      </c>
      <c r="W528" s="14">
        <f t="shared" si="30"/>
        <v>0</v>
      </c>
      <c r="X528" s="14">
        <f t="shared" si="31"/>
        <v>0</v>
      </c>
      <c r="Y528" s="8" t="s">
        <v>406</v>
      </c>
      <c r="Z528" s="6">
        <f t="shared" si="32"/>
        <v>0</v>
      </c>
      <c r="AA528" s="6">
        <f t="shared" si="33"/>
        <v>0</v>
      </c>
      <c r="AB528" s="6">
        <f t="shared" si="34"/>
        <v>0</v>
      </c>
      <c r="AD528" s="14">
        <v>15</v>
      </c>
      <c r="AE528" s="14">
        <f t="shared" si="40"/>
        <v>0</v>
      </c>
      <c r="AF528" s="14">
        <f t="shared" si="41"/>
        <v>0</v>
      </c>
      <c r="AG528" s="11" t="s">
        <v>13</v>
      </c>
      <c r="AM528" s="14">
        <f t="shared" si="35"/>
        <v>0</v>
      </c>
      <c r="AN528" s="14">
        <f t="shared" si="36"/>
        <v>0</v>
      </c>
      <c r="AO528" s="15" t="s">
        <v>1704</v>
      </c>
      <c r="AP528" s="15" t="s">
        <v>1735</v>
      </c>
      <c r="AQ528" s="8" t="s">
        <v>1769</v>
      </c>
      <c r="AS528" s="14">
        <f t="shared" si="37"/>
        <v>0</v>
      </c>
      <c r="AT528" s="14">
        <f t="shared" si="38"/>
        <v>0</v>
      </c>
      <c r="AU528" s="14">
        <v>0</v>
      </c>
      <c r="AV528" s="14">
        <f t="shared" si="39"/>
        <v>0.0182</v>
      </c>
    </row>
    <row r="529" spans="1:48" ht="12.75">
      <c r="A529" s="105" t="s">
        <v>193</v>
      </c>
      <c r="B529" s="105" t="s">
        <v>406</v>
      </c>
      <c r="C529" s="105" t="s">
        <v>606</v>
      </c>
      <c r="D529" s="105" t="s">
        <v>1233</v>
      </c>
      <c r="E529" s="105" t="s">
        <v>1641</v>
      </c>
      <c r="F529" s="106">
        <v>2</v>
      </c>
      <c r="G529" s="106">
        <v>0</v>
      </c>
      <c r="H529" s="106">
        <f t="shared" si="20"/>
        <v>0</v>
      </c>
      <c r="I529" s="106">
        <f t="shared" si="21"/>
        <v>0</v>
      </c>
      <c r="J529" s="106">
        <f t="shared" si="22"/>
        <v>0</v>
      </c>
      <c r="K529" s="106">
        <v>0.0429</v>
      </c>
      <c r="L529" s="106">
        <f t="shared" si="23"/>
        <v>0.0858</v>
      </c>
      <c r="M529" s="107" t="s">
        <v>1667</v>
      </c>
      <c r="P529" s="14">
        <f t="shared" si="24"/>
        <v>0</v>
      </c>
      <c r="R529" s="14">
        <f t="shared" si="25"/>
        <v>0</v>
      </c>
      <c r="S529" s="14">
        <f t="shared" si="26"/>
        <v>0</v>
      </c>
      <c r="T529" s="14">
        <f t="shared" si="27"/>
        <v>0</v>
      </c>
      <c r="U529" s="14">
        <f t="shared" si="28"/>
        <v>0</v>
      </c>
      <c r="V529" s="14">
        <f t="shared" si="29"/>
        <v>0</v>
      </c>
      <c r="W529" s="14">
        <f t="shared" si="30"/>
        <v>0</v>
      </c>
      <c r="X529" s="14">
        <f t="shared" si="31"/>
        <v>0</v>
      </c>
      <c r="Y529" s="8" t="s">
        <v>406</v>
      </c>
      <c r="Z529" s="6">
        <f t="shared" si="32"/>
        <v>0</v>
      </c>
      <c r="AA529" s="6">
        <f t="shared" si="33"/>
        <v>0</v>
      </c>
      <c r="AB529" s="6">
        <f t="shared" si="34"/>
        <v>0</v>
      </c>
      <c r="AD529" s="14">
        <v>15</v>
      </c>
      <c r="AE529" s="14">
        <f t="shared" si="40"/>
        <v>0</v>
      </c>
      <c r="AF529" s="14">
        <f t="shared" si="41"/>
        <v>0</v>
      </c>
      <c r="AG529" s="11" t="s">
        <v>13</v>
      </c>
      <c r="AM529" s="14">
        <f t="shared" si="35"/>
        <v>0</v>
      </c>
      <c r="AN529" s="14">
        <f t="shared" si="36"/>
        <v>0</v>
      </c>
      <c r="AO529" s="15" t="s">
        <v>1704</v>
      </c>
      <c r="AP529" s="15" t="s">
        <v>1735</v>
      </c>
      <c r="AQ529" s="8" t="s">
        <v>1769</v>
      </c>
      <c r="AS529" s="14">
        <f t="shared" si="37"/>
        <v>0</v>
      </c>
      <c r="AT529" s="14">
        <f t="shared" si="38"/>
        <v>0</v>
      </c>
      <c r="AU529" s="14">
        <v>0</v>
      </c>
      <c r="AV529" s="14">
        <f t="shared" si="39"/>
        <v>0.0858</v>
      </c>
    </row>
    <row r="530" spans="1:48" ht="12.75">
      <c r="A530" s="105" t="s">
        <v>194</v>
      </c>
      <c r="B530" s="105" t="s">
        <v>406</v>
      </c>
      <c r="C530" s="105" t="s">
        <v>607</v>
      </c>
      <c r="D530" s="105" t="s">
        <v>1234</v>
      </c>
      <c r="E530" s="105" t="s">
        <v>1641</v>
      </c>
      <c r="F530" s="106">
        <v>1</v>
      </c>
      <c r="G530" s="106">
        <v>0</v>
      </c>
      <c r="H530" s="106">
        <f t="shared" si="20"/>
        <v>0</v>
      </c>
      <c r="I530" s="106">
        <f t="shared" si="21"/>
        <v>0</v>
      </c>
      <c r="J530" s="106">
        <f t="shared" si="22"/>
        <v>0</v>
      </c>
      <c r="K530" s="106">
        <v>0.0252</v>
      </c>
      <c r="L530" s="106">
        <f t="shared" si="23"/>
        <v>0.0252</v>
      </c>
      <c r="M530" s="107" t="s">
        <v>1667</v>
      </c>
      <c r="P530" s="14">
        <f t="shared" si="24"/>
        <v>0</v>
      </c>
      <c r="R530" s="14">
        <f t="shared" si="25"/>
        <v>0</v>
      </c>
      <c r="S530" s="14">
        <f t="shared" si="26"/>
        <v>0</v>
      </c>
      <c r="T530" s="14">
        <f t="shared" si="27"/>
        <v>0</v>
      </c>
      <c r="U530" s="14">
        <f t="shared" si="28"/>
        <v>0</v>
      </c>
      <c r="V530" s="14">
        <f t="shared" si="29"/>
        <v>0</v>
      </c>
      <c r="W530" s="14">
        <f t="shared" si="30"/>
        <v>0</v>
      </c>
      <c r="X530" s="14">
        <f t="shared" si="31"/>
        <v>0</v>
      </c>
      <c r="Y530" s="8" t="s">
        <v>406</v>
      </c>
      <c r="Z530" s="6">
        <f t="shared" si="32"/>
        <v>0</v>
      </c>
      <c r="AA530" s="6">
        <f t="shared" si="33"/>
        <v>0</v>
      </c>
      <c r="AB530" s="6">
        <f t="shared" si="34"/>
        <v>0</v>
      </c>
      <c r="AD530" s="14">
        <v>15</v>
      </c>
      <c r="AE530" s="14">
        <f t="shared" si="40"/>
        <v>0</v>
      </c>
      <c r="AF530" s="14">
        <f t="shared" si="41"/>
        <v>0</v>
      </c>
      <c r="AG530" s="11" t="s">
        <v>13</v>
      </c>
      <c r="AM530" s="14">
        <f t="shared" si="35"/>
        <v>0</v>
      </c>
      <c r="AN530" s="14">
        <f t="shared" si="36"/>
        <v>0</v>
      </c>
      <c r="AO530" s="15" t="s">
        <v>1704</v>
      </c>
      <c r="AP530" s="15" t="s">
        <v>1735</v>
      </c>
      <c r="AQ530" s="8" t="s">
        <v>1769</v>
      </c>
      <c r="AS530" s="14">
        <f t="shared" si="37"/>
        <v>0</v>
      </c>
      <c r="AT530" s="14">
        <f t="shared" si="38"/>
        <v>0</v>
      </c>
      <c r="AU530" s="14">
        <v>0</v>
      </c>
      <c r="AV530" s="14">
        <f t="shared" si="39"/>
        <v>0.0252</v>
      </c>
    </row>
    <row r="531" spans="1:48" ht="12.75">
      <c r="A531" s="105" t="s">
        <v>195</v>
      </c>
      <c r="B531" s="105" t="s">
        <v>406</v>
      </c>
      <c r="C531" s="105" t="s">
        <v>608</v>
      </c>
      <c r="D531" s="105" t="s">
        <v>1235</v>
      </c>
      <c r="E531" s="105" t="s">
        <v>1641</v>
      </c>
      <c r="F531" s="106">
        <v>1</v>
      </c>
      <c r="G531" s="106">
        <v>0</v>
      </c>
      <c r="H531" s="106">
        <f t="shared" si="20"/>
        <v>0</v>
      </c>
      <c r="I531" s="106">
        <f t="shared" si="21"/>
        <v>0</v>
      </c>
      <c r="J531" s="106">
        <f t="shared" si="22"/>
        <v>0</v>
      </c>
      <c r="K531" s="106">
        <v>0.0251</v>
      </c>
      <c r="L531" s="106">
        <f t="shared" si="23"/>
        <v>0.0251</v>
      </c>
      <c r="M531" s="107" t="s">
        <v>1667</v>
      </c>
      <c r="P531" s="14">
        <f t="shared" si="24"/>
        <v>0</v>
      </c>
      <c r="R531" s="14">
        <f t="shared" si="25"/>
        <v>0</v>
      </c>
      <c r="S531" s="14">
        <f t="shared" si="26"/>
        <v>0</v>
      </c>
      <c r="T531" s="14">
        <f t="shared" si="27"/>
        <v>0</v>
      </c>
      <c r="U531" s="14">
        <f t="shared" si="28"/>
        <v>0</v>
      </c>
      <c r="V531" s="14">
        <f t="shared" si="29"/>
        <v>0</v>
      </c>
      <c r="W531" s="14">
        <f t="shared" si="30"/>
        <v>0</v>
      </c>
      <c r="X531" s="14">
        <f t="shared" si="31"/>
        <v>0</v>
      </c>
      <c r="Y531" s="8" t="s">
        <v>406</v>
      </c>
      <c r="Z531" s="6">
        <f t="shared" si="32"/>
        <v>0</v>
      </c>
      <c r="AA531" s="6">
        <f t="shared" si="33"/>
        <v>0</v>
      </c>
      <c r="AB531" s="6">
        <f t="shared" si="34"/>
        <v>0</v>
      </c>
      <c r="AD531" s="14">
        <v>15</v>
      </c>
      <c r="AE531" s="14">
        <f t="shared" si="40"/>
        <v>0</v>
      </c>
      <c r="AF531" s="14">
        <f t="shared" si="41"/>
        <v>0</v>
      </c>
      <c r="AG531" s="11" t="s">
        <v>13</v>
      </c>
      <c r="AM531" s="14">
        <f t="shared" si="35"/>
        <v>0</v>
      </c>
      <c r="AN531" s="14">
        <f t="shared" si="36"/>
        <v>0</v>
      </c>
      <c r="AO531" s="15" t="s">
        <v>1704</v>
      </c>
      <c r="AP531" s="15" t="s">
        <v>1735</v>
      </c>
      <c r="AQ531" s="8" t="s">
        <v>1769</v>
      </c>
      <c r="AS531" s="14">
        <f t="shared" si="37"/>
        <v>0</v>
      </c>
      <c r="AT531" s="14">
        <f t="shared" si="38"/>
        <v>0</v>
      </c>
      <c r="AU531" s="14">
        <v>0</v>
      </c>
      <c r="AV531" s="14">
        <f t="shared" si="39"/>
        <v>0.0251</v>
      </c>
    </row>
    <row r="532" spans="1:48" ht="12.75">
      <c r="A532" s="105" t="s">
        <v>196</v>
      </c>
      <c r="B532" s="105" t="s">
        <v>406</v>
      </c>
      <c r="C532" s="105" t="s">
        <v>609</v>
      </c>
      <c r="D532" s="105" t="s">
        <v>1236</v>
      </c>
      <c r="E532" s="105" t="s">
        <v>1641</v>
      </c>
      <c r="F532" s="106">
        <v>1</v>
      </c>
      <c r="G532" s="106">
        <v>0</v>
      </c>
      <c r="H532" s="106">
        <f t="shared" si="20"/>
        <v>0</v>
      </c>
      <c r="I532" s="106">
        <f t="shared" si="21"/>
        <v>0</v>
      </c>
      <c r="J532" s="106">
        <f t="shared" si="22"/>
        <v>0</v>
      </c>
      <c r="K532" s="106">
        <v>0.0282</v>
      </c>
      <c r="L532" s="106">
        <f t="shared" si="23"/>
        <v>0.0282</v>
      </c>
      <c r="M532" s="107" t="s">
        <v>1667</v>
      </c>
      <c r="P532" s="14">
        <f t="shared" si="24"/>
        <v>0</v>
      </c>
      <c r="R532" s="14">
        <f t="shared" si="25"/>
        <v>0</v>
      </c>
      <c r="S532" s="14">
        <f t="shared" si="26"/>
        <v>0</v>
      </c>
      <c r="T532" s="14">
        <f t="shared" si="27"/>
        <v>0</v>
      </c>
      <c r="U532" s="14">
        <f t="shared" si="28"/>
        <v>0</v>
      </c>
      <c r="V532" s="14">
        <f t="shared" si="29"/>
        <v>0</v>
      </c>
      <c r="W532" s="14">
        <f t="shared" si="30"/>
        <v>0</v>
      </c>
      <c r="X532" s="14">
        <f t="shared" si="31"/>
        <v>0</v>
      </c>
      <c r="Y532" s="8" t="s">
        <v>406</v>
      </c>
      <c r="Z532" s="6">
        <f t="shared" si="32"/>
        <v>0</v>
      </c>
      <c r="AA532" s="6">
        <f t="shared" si="33"/>
        <v>0</v>
      </c>
      <c r="AB532" s="6">
        <f t="shared" si="34"/>
        <v>0</v>
      </c>
      <c r="AD532" s="14">
        <v>15</v>
      </c>
      <c r="AE532" s="14">
        <f t="shared" si="40"/>
        <v>0</v>
      </c>
      <c r="AF532" s="14">
        <f t="shared" si="41"/>
        <v>0</v>
      </c>
      <c r="AG532" s="11" t="s">
        <v>13</v>
      </c>
      <c r="AM532" s="14">
        <f t="shared" si="35"/>
        <v>0</v>
      </c>
      <c r="AN532" s="14">
        <f t="shared" si="36"/>
        <v>0</v>
      </c>
      <c r="AO532" s="15" t="s">
        <v>1704</v>
      </c>
      <c r="AP532" s="15" t="s">
        <v>1735</v>
      </c>
      <c r="AQ532" s="8" t="s">
        <v>1769</v>
      </c>
      <c r="AS532" s="14">
        <f t="shared" si="37"/>
        <v>0</v>
      </c>
      <c r="AT532" s="14">
        <f t="shared" si="38"/>
        <v>0</v>
      </c>
      <c r="AU532" s="14">
        <v>0</v>
      </c>
      <c r="AV532" s="14">
        <f t="shared" si="39"/>
        <v>0.0282</v>
      </c>
    </row>
    <row r="533" spans="1:48" ht="12.75">
      <c r="A533" s="105" t="s">
        <v>197</v>
      </c>
      <c r="B533" s="105" t="s">
        <v>406</v>
      </c>
      <c r="C533" s="105" t="s">
        <v>610</v>
      </c>
      <c r="D533" s="105" t="s">
        <v>1237</v>
      </c>
      <c r="E533" s="105" t="s">
        <v>1644</v>
      </c>
      <c r="F533" s="106">
        <v>1</v>
      </c>
      <c r="G533" s="106">
        <v>0</v>
      </c>
      <c r="H533" s="106">
        <f t="shared" si="20"/>
        <v>0</v>
      </c>
      <c r="I533" s="106">
        <f t="shared" si="21"/>
        <v>0</v>
      </c>
      <c r="J533" s="106">
        <f t="shared" si="22"/>
        <v>0</v>
      </c>
      <c r="K533" s="106">
        <v>0</v>
      </c>
      <c r="L533" s="106">
        <f t="shared" si="23"/>
        <v>0</v>
      </c>
      <c r="M533" s="107" t="s">
        <v>1667</v>
      </c>
      <c r="P533" s="14">
        <f t="shared" si="24"/>
        <v>0</v>
      </c>
      <c r="R533" s="14">
        <f t="shared" si="25"/>
        <v>0</v>
      </c>
      <c r="S533" s="14">
        <f t="shared" si="26"/>
        <v>0</v>
      </c>
      <c r="T533" s="14">
        <f t="shared" si="27"/>
        <v>0</v>
      </c>
      <c r="U533" s="14">
        <f t="shared" si="28"/>
        <v>0</v>
      </c>
      <c r="V533" s="14">
        <f t="shared" si="29"/>
        <v>0</v>
      </c>
      <c r="W533" s="14">
        <f t="shared" si="30"/>
        <v>0</v>
      </c>
      <c r="X533" s="14">
        <f t="shared" si="31"/>
        <v>0</v>
      </c>
      <c r="Y533" s="8" t="s">
        <v>406</v>
      </c>
      <c r="Z533" s="6">
        <f t="shared" si="32"/>
        <v>0</v>
      </c>
      <c r="AA533" s="6">
        <f t="shared" si="33"/>
        <v>0</v>
      </c>
      <c r="AB533" s="6">
        <f t="shared" si="34"/>
        <v>0</v>
      </c>
      <c r="AD533" s="14">
        <v>15</v>
      </c>
      <c r="AE533" s="14">
        <f t="shared" si="40"/>
        <v>0</v>
      </c>
      <c r="AF533" s="14">
        <f t="shared" si="41"/>
        <v>0</v>
      </c>
      <c r="AG533" s="11" t="s">
        <v>13</v>
      </c>
      <c r="AM533" s="14">
        <f t="shared" si="35"/>
        <v>0</v>
      </c>
      <c r="AN533" s="14">
        <f t="shared" si="36"/>
        <v>0</v>
      </c>
      <c r="AO533" s="15" t="s">
        <v>1704</v>
      </c>
      <c r="AP533" s="15" t="s">
        <v>1735</v>
      </c>
      <c r="AQ533" s="8" t="s">
        <v>1769</v>
      </c>
      <c r="AS533" s="14">
        <f t="shared" si="37"/>
        <v>0</v>
      </c>
      <c r="AT533" s="14">
        <f t="shared" si="38"/>
        <v>0</v>
      </c>
      <c r="AU533" s="14">
        <v>0</v>
      </c>
      <c r="AV533" s="14">
        <f t="shared" si="39"/>
        <v>0</v>
      </c>
    </row>
    <row r="534" spans="1:13" ht="12.75">
      <c r="A534" s="102"/>
      <c r="B534" s="102"/>
      <c r="C534" s="102"/>
      <c r="D534" s="103" t="s">
        <v>1039</v>
      </c>
      <c r="E534" s="102"/>
      <c r="F534" s="104">
        <v>1</v>
      </c>
      <c r="G534" s="102"/>
      <c r="H534" s="102"/>
      <c r="I534" s="102"/>
      <c r="J534" s="102"/>
      <c r="K534" s="102"/>
      <c r="L534" s="102"/>
      <c r="M534" s="102"/>
    </row>
    <row r="535" spans="1:48" ht="12.75">
      <c r="A535" s="105" t="s">
        <v>198</v>
      </c>
      <c r="B535" s="105" t="s">
        <v>406</v>
      </c>
      <c r="C535" s="105" t="s">
        <v>611</v>
      </c>
      <c r="D535" s="105" t="s">
        <v>1238</v>
      </c>
      <c r="E535" s="105" t="s">
        <v>1644</v>
      </c>
      <c r="F535" s="106">
        <v>3</v>
      </c>
      <c r="G535" s="106">
        <v>0</v>
      </c>
      <c r="H535" s="106">
        <f>F535*AE535</f>
        <v>0</v>
      </c>
      <c r="I535" s="106">
        <f>J535-H535</f>
        <v>0</v>
      </c>
      <c r="J535" s="106">
        <f>F535*G535</f>
        <v>0</v>
      </c>
      <c r="K535" s="106">
        <v>0</v>
      </c>
      <c r="L535" s="106">
        <f>F535*K535</f>
        <v>0</v>
      </c>
      <c r="M535" s="107" t="s">
        <v>1667</v>
      </c>
      <c r="P535" s="14">
        <f>IF(AG535="5",J535,0)</f>
        <v>0</v>
      </c>
      <c r="R535" s="14">
        <f>IF(AG535="1",H535,0)</f>
        <v>0</v>
      </c>
      <c r="S535" s="14">
        <f>IF(AG535="1",I535,0)</f>
        <v>0</v>
      </c>
      <c r="T535" s="14">
        <f>IF(AG535="7",H535,0)</f>
        <v>0</v>
      </c>
      <c r="U535" s="14">
        <f>IF(AG535="7",I535,0)</f>
        <v>0</v>
      </c>
      <c r="V535" s="14">
        <f>IF(AG535="2",H535,0)</f>
        <v>0</v>
      </c>
      <c r="W535" s="14">
        <f>IF(AG535="2",I535,0)</f>
        <v>0</v>
      </c>
      <c r="X535" s="14">
        <f>IF(AG535="0",J535,0)</f>
        <v>0</v>
      </c>
      <c r="Y535" s="8" t="s">
        <v>406</v>
      </c>
      <c r="Z535" s="6">
        <f>IF(AD535=0,J535,0)</f>
        <v>0</v>
      </c>
      <c r="AA535" s="6">
        <f>IF(AD535=15,J535,0)</f>
        <v>0</v>
      </c>
      <c r="AB535" s="6">
        <f>IF(AD535=21,J535,0)</f>
        <v>0</v>
      </c>
      <c r="AD535" s="14">
        <v>15</v>
      </c>
      <c r="AE535" s="14">
        <f>G535*1</f>
        <v>0</v>
      </c>
      <c r="AF535" s="14">
        <f>G535*(1-1)</f>
        <v>0</v>
      </c>
      <c r="AG535" s="11" t="s">
        <v>13</v>
      </c>
      <c r="AM535" s="14">
        <f>F535*AE535</f>
        <v>0</v>
      </c>
      <c r="AN535" s="14">
        <f>F535*AF535</f>
        <v>0</v>
      </c>
      <c r="AO535" s="15" t="s">
        <v>1704</v>
      </c>
      <c r="AP535" s="15" t="s">
        <v>1735</v>
      </c>
      <c r="AQ535" s="8" t="s">
        <v>1769</v>
      </c>
      <c r="AS535" s="14">
        <f>AM535+AN535</f>
        <v>0</v>
      </c>
      <c r="AT535" s="14">
        <f>G535/(100-AU535)*100</f>
        <v>0</v>
      </c>
      <c r="AU535" s="14">
        <v>0</v>
      </c>
      <c r="AV535" s="14">
        <f>L535</f>
        <v>0</v>
      </c>
    </row>
    <row r="536" spans="1:13" ht="12.75">
      <c r="A536" s="102"/>
      <c r="B536" s="102"/>
      <c r="C536" s="102"/>
      <c r="D536" s="103" t="s">
        <v>1039</v>
      </c>
      <c r="E536" s="102"/>
      <c r="F536" s="104">
        <v>1</v>
      </c>
      <c r="G536" s="102"/>
      <c r="H536" s="102"/>
      <c r="I536" s="102"/>
      <c r="J536" s="102"/>
      <c r="K536" s="102"/>
      <c r="L536" s="102"/>
      <c r="M536" s="102"/>
    </row>
    <row r="537" spans="1:13" ht="12.75">
      <c r="A537" s="102"/>
      <c r="B537" s="102"/>
      <c r="C537" s="102"/>
      <c r="D537" s="103" t="s">
        <v>1043</v>
      </c>
      <c r="E537" s="102"/>
      <c r="F537" s="104">
        <v>2</v>
      </c>
      <c r="G537" s="102"/>
      <c r="H537" s="102"/>
      <c r="I537" s="102"/>
      <c r="J537" s="102"/>
      <c r="K537" s="102"/>
      <c r="L537" s="102"/>
      <c r="M537" s="102"/>
    </row>
    <row r="538" spans="1:48" ht="12.75">
      <c r="A538" s="105" t="s">
        <v>199</v>
      </c>
      <c r="B538" s="105" t="s">
        <v>406</v>
      </c>
      <c r="C538" s="105" t="s">
        <v>612</v>
      </c>
      <c r="D538" s="105" t="s">
        <v>1239</v>
      </c>
      <c r="E538" s="105" t="s">
        <v>1644</v>
      </c>
      <c r="F538" s="106">
        <v>6</v>
      </c>
      <c r="G538" s="106">
        <v>0</v>
      </c>
      <c r="H538" s="106">
        <f>F538*AE538</f>
        <v>0</v>
      </c>
      <c r="I538" s="106">
        <f>J538-H538</f>
        <v>0</v>
      </c>
      <c r="J538" s="106">
        <f>F538*G538</f>
        <v>0</v>
      </c>
      <c r="K538" s="106">
        <v>0</v>
      </c>
      <c r="L538" s="106">
        <f>F538*K538</f>
        <v>0</v>
      </c>
      <c r="M538" s="107" t="s">
        <v>1667</v>
      </c>
      <c r="P538" s="14">
        <f>IF(AG538="5",J538,0)</f>
        <v>0</v>
      </c>
      <c r="R538" s="14">
        <f>IF(AG538="1",H538,0)</f>
        <v>0</v>
      </c>
      <c r="S538" s="14">
        <f>IF(AG538="1",I538,0)</f>
        <v>0</v>
      </c>
      <c r="T538" s="14">
        <f>IF(AG538="7",H538,0)</f>
        <v>0</v>
      </c>
      <c r="U538" s="14">
        <f>IF(AG538="7",I538,0)</f>
        <v>0</v>
      </c>
      <c r="V538" s="14">
        <f>IF(AG538="2",H538,0)</f>
        <v>0</v>
      </c>
      <c r="W538" s="14">
        <f>IF(AG538="2",I538,0)</f>
        <v>0</v>
      </c>
      <c r="X538" s="14">
        <f>IF(AG538="0",J538,0)</f>
        <v>0</v>
      </c>
      <c r="Y538" s="8" t="s">
        <v>406</v>
      </c>
      <c r="Z538" s="6">
        <f>IF(AD538=0,J538,0)</f>
        <v>0</v>
      </c>
      <c r="AA538" s="6">
        <f>IF(AD538=15,J538,0)</f>
        <v>0</v>
      </c>
      <c r="AB538" s="6">
        <f>IF(AD538=21,J538,0)</f>
        <v>0</v>
      </c>
      <c r="AD538" s="14">
        <v>15</v>
      </c>
      <c r="AE538" s="14">
        <f>G538*1</f>
        <v>0</v>
      </c>
      <c r="AF538" s="14">
        <f>G538*(1-1)</f>
        <v>0</v>
      </c>
      <c r="AG538" s="11" t="s">
        <v>13</v>
      </c>
      <c r="AM538" s="14">
        <f>F538*AE538</f>
        <v>0</v>
      </c>
      <c r="AN538" s="14">
        <f>F538*AF538</f>
        <v>0</v>
      </c>
      <c r="AO538" s="15" t="s">
        <v>1704</v>
      </c>
      <c r="AP538" s="15" t="s">
        <v>1735</v>
      </c>
      <c r="AQ538" s="8" t="s">
        <v>1769</v>
      </c>
      <c r="AS538" s="14">
        <f>AM538+AN538</f>
        <v>0</v>
      </c>
      <c r="AT538" s="14">
        <f>G538/(100-AU538)*100</f>
        <v>0</v>
      </c>
      <c r="AU538" s="14">
        <v>0</v>
      </c>
      <c r="AV538" s="14">
        <f>L538</f>
        <v>0</v>
      </c>
    </row>
    <row r="539" spans="1:13" ht="12.75">
      <c r="A539" s="102"/>
      <c r="B539" s="102"/>
      <c r="C539" s="102"/>
      <c r="D539" s="103" t="s">
        <v>1240</v>
      </c>
      <c r="E539" s="102"/>
      <c r="F539" s="104">
        <v>3</v>
      </c>
      <c r="G539" s="102"/>
      <c r="H539" s="102"/>
      <c r="I539" s="102"/>
      <c r="J539" s="102"/>
      <c r="K539" s="102"/>
      <c r="L539" s="102"/>
      <c r="M539" s="102"/>
    </row>
    <row r="540" spans="1:13" ht="12.75">
      <c r="A540" s="102"/>
      <c r="B540" s="102"/>
      <c r="C540" s="102"/>
      <c r="D540" s="103" t="s">
        <v>1046</v>
      </c>
      <c r="E540" s="102"/>
      <c r="F540" s="104">
        <v>3</v>
      </c>
      <c r="G540" s="102"/>
      <c r="H540" s="102"/>
      <c r="I540" s="102"/>
      <c r="J540" s="102"/>
      <c r="K540" s="102"/>
      <c r="L540" s="102"/>
      <c r="M540" s="102"/>
    </row>
    <row r="541" spans="1:48" ht="12.75">
      <c r="A541" s="99" t="s">
        <v>200</v>
      </c>
      <c r="B541" s="99" t="s">
        <v>406</v>
      </c>
      <c r="C541" s="99" t="s">
        <v>613</v>
      </c>
      <c r="D541" s="99" t="s">
        <v>1241</v>
      </c>
      <c r="E541" s="99" t="s">
        <v>1640</v>
      </c>
      <c r="F541" s="100">
        <v>5.32</v>
      </c>
      <c r="G541" s="100">
        <v>0</v>
      </c>
      <c r="H541" s="100">
        <f>F541*AE541</f>
        <v>0</v>
      </c>
      <c r="I541" s="100">
        <f>J541-H541</f>
        <v>0</v>
      </c>
      <c r="J541" s="100">
        <f>F541*G541</f>
        <v>0</v>
      </c>
      <c r="K541" s="100">
        <v>0.01223</v>
      </c>
      <c r="L541" s="100">
        <f>F541*K541</f>
        <v>0.0650636</v>
      </c>
      <c r="M541" s="101" t="s">
        <v>1667</v>
      </c>
      <c r="P541" s="14">
        <f>IF(AG541="5",J541,0)</f>
        <v>0</v>
      </c>
      <c r="R541" s="14">
        <f>IF(AG541="1",H541,0)</f>
        <v>0</v>
      </c>
      <c r="S541" s="14">
        <f>IF(AG541="1",I541,0)</f>
        <v>0</v>
      </c>
      <c r="T541" s="14">
        <f>IF(AG541="7",H541,0)</f>
        <v>0</v>
      </c>
      <c r="U541" s="14">
        <f>IF(AG541="7",I541,0)</f>
        <v>0</v>
      </c>
      <c r="V541" s="14">
        <f>IF(AG541="2",H541,0)</f>
        <v>0</v>
      </c>
      <c r="W541" s="14">
        <f>IF(AG541="2",I541,0)</f>
        <v>0</v>
      </c>
      <c r="X541" s="14">
        <f>IF(AG541="0",J541,0)</f>
        <v>0</v>
      </c>
      <c r="Y541" s="8" t="s">
        <v>406</v>
      </c>
      <c r="Z541" s="5">
        <f>IF(AD541=0,J541,0)</f>
        <v>0</v>
      </c>
      <c r="AA541" s="5">
        <f>IF(AD541=15,J541,0)</f>
        <v>0</v>
      </c>
      <c r="AB541" s="5">
        <f>IF(AD541=21,J541,0)</f>
        <v>0</v>
      </c>
      <c r="AD541" s="14">
        <v>15</v>
      </c>
      <c r="AE541" s="14">
        <f>G541*0.39486318517864</f>
        <v>0</v>
      </c>
      <c r="AF541" s="14">
        <f>G541*(1-0.39486318517864)</f>
        <v>0</v>
      </c>
      <c r="AG541" s="10" t="s">
        <v>13</v>
      </c>
      <c r="AM541" s="14">
        <f>F541*AE541</f>
        <v>0</v>
      </c>
      <c r="AN541" s="14">
        <f>F541*AF541</f>
        <v>0</v>
      </c>
      <c r="AO541" s="15" t="s">
        <v>1704</v>
      </c>
      <c r="AP541" s="15" t="s">
        <v>1735</v>
      </c>
      <c r="AQ541" s="8" t="s">
        <v>1769</v>
      </c>
      <c r="AS541" s="14">
        <f>AM541+AN541</f>
        <v>0</v>
      </c>
      <c r="AT541" s="14">
        <f>G541/(100-AU541)*100</f>
        <v>0</v>
      </c>
      <c r="AU541" s="14">
        <v>0</v>
      </c>
      <c r="AV541" s="14">
        <f>L541</f>
        <v>0.0650636</v>
      </c>
    </row>
    <row r="542" spans="1:13" ht="12.75">
      <c r="A542" s="102"/>
      <c r="B542" s="102"/>
      <c r="C542" s="102"/>
      <c r="D542" s="103" t="s">
        <v>1242</v>
      </c>
      <c r="E542" s="102"/>
      <c r="F542" s="104">
        <v>5.32</v>
      </c>
      <c r="G542" s="102"/>
      <c r="H542" s="102"/>
      <c r="I542" s="102"/>
      <c r="J542" s="102"/>
      <c r="K542" s="102"/>
      <c r="L542" s="102"/>
      <c r="M542" s="102"/>
    </row>
    <row r="543" spans="1:48" ht="12.75">
      <c r="A543" s="99" t="s">
        <v>201</v>
      </c>
      <c r="B543" s="99" t="s">
        <v>406</v>
      </c>
      <c r="C543" s="99" t="s">
        <v>614</v>
      </c>
      <c r="D543" s="99" t="s">
        <v>1243</v>
      </c>
      <c r="E543" s="99" t="s">
        <v>1648</v>
      </c>
      <c r="F543" s="100">
        <v>2880.6</v>
      </c>
      <c r="G543" s="100">
        <v>0</v>
      </c>
      <c r="H543" s="100">
        <f>F543*AE543</f>
        <v>0</v>
      </c>
      <c r="I543" s="100">
        <f>J543-H543</f>
        <v>0</v>
      </c>
      <c r="J543" s="100">
        <f>F543*G543</f>
        <v>0</v>
      </c>
      <c r="K543" s="100">
        <v>0</v>
      </c>
      <c r="L543" s="100">
        <f>F543*K543</f>
        <v>0</v>
      </c>
      <c r="M543" s="101" t="s">
        <v>1667</v>
      </c>
      <c r="P543" s="14">
        <f>IF(AG543="5",J543,0)</f>
        <v>0</v>
      </c>
      <c r="R543" s="14">
        <f>IF(AG543="1",H543,0)</f>
        <v>0</v>
      </c>
      <c r="S543" s="14">
        <f>IF(AG543="1",I543,0)</f>
        <v>0</v>
      </c>
      <c r="T543" s="14">
        <f>IF(AG543="7",H543,0)</f>
        <v>0</v>
      </c>
      <c r="U543" s="14">
        <f>IF(AG543="7",I543,0)</f>
        <v>0</v>
      </c>
      <c r="V543" s="14">
        <f>IF(AG543="2",H543,0)</f>
        <v>0</v>
      </c>
      <c r="W543" s="14">
        <f>IF(AG543="2",I543,0)</f>
        <v>0</v>
      </c>
      <c r="X543" s="14">
        <f>IF(AG543="0",J543,0)</f>
        <v>0</v>
      </c>
      <c r="Y543" s="8" t="s">
        <v>406</v>
      </c>
      <c r="Z543" s="5">
        <f>IF(AD543=0,J543,0)</f>
        <v>0</v>
      </c>
      <c r="AA543" s="5">
        <f>IF(AD543=15,J543,0)</f>
        <v>0</v>
      </c>
      <c r="AB543" s="5">
        <f>IF(AD543=21,J543,0)</f>
        <v>0</v>
      </c>
      <c r="AD543" s="14">
        <v>15</v>
      </c>
      <c r="AE543" s="14">
        <f>G543*0</f>
        <v>0</v>
      </c>
      <c r="AF543" s="14">
        <f>G543*(1-0)</f>
        <v>0</v>
      </c>
      <c r="AG543" s="10" t="s">
        <v>11</v>
      </c>
      <c r="AM543" s="14">
        <f>F543*AE543</f>
        <v>0</v>
      </c>
      <c r="AN543" s="14">
        <f>F543*AF543</f>
        <v>0</v>
      </c>
      <c r="AO543" s="15" t="s">
        <v>1704</v>
      </c>
      <c r="AP543" s="15" t="s">
        <v>1735</v>
      </c>
      <c r="AQ543" s="8" t="s">
        <v>1769</v>
      </c>
      <c r="AS543" s="14">
        <f>AM543+AN543</f>
        <v>0</v>
      </c>
      <c r="AT543" s="14">
        <f>G543/(100-AU543)*100</f>
        <v>0</v>
      </c>
      <c r="AU543" s="14">
        <v>0</v>
      </c>
      <c r="AV543" s="14">
        <f>L543</f>
        <v>0</v>
      </c>
    </row>
    <row r="544" spans="1:37" ht="12.75">
      <c r="A544" s="93"/>
      <c r="B544" s="94" t="s">
        <v>406</v>
      </c>
      <c r="C544" s="94" t="s">
        <v>615</v>
      </c>
      <c r="D544" s="95" t="s">
        <v>1244</v>
      </c>
      <c r="E544" s="96"/>
      <c r="F544" s="96"/>
      <c r="G544" s="96"/>
      <c r="H544" s="97">
        <f>SUM(H545:H555)</f>
        <v>0</v>
      </c>
      <c r="I544" s="97">
        <f>SUM(I545:I555)</f>
        <v>0</v>
      </c>
      <c r="J544" s="97">
        <f>H544+I544</f>
        <v>0</v>
      </c>
      <c r="K544" s="98"/>
      <c r="L544" s="97">
        <f>SUM(L545:L555)</f>
        <v>0</v>
      </c>
      <c r="M544" s="98"/>
      <c r="Y544" s="8" t="s">
        <v>406</v>
      </c>
      <c r="AI544" s="16">
        <f>SUM(Z545:Z555)</f>
        <v>0</v>
      </c>
      <c r="AJ544" s="16">
        <f>SUM(AA545:AA555)</f>
        <v>0</v>
      </c>
      <c r="AK544" s="16">
        <f>SUM(AB545:AB555)</f>
        <v>0</v>
      </c>
    </row>
    <row r="545" spans="1:48" ht="12.75">
      <c r="A545" s="99" t="s">
        <v>202</v>
      </c>
      <c r="B545" s="99" t="s">
        <v>406</v>
      </c>
      <c r="C545" s="99" t="s">
        <v>616</v>
      </c>
      <c r="D545" s="99" t="s">
        <v>1245</v>
      </c>
      <c r="E545" s="99" t="s">
        <v>1644</v>
      </c>
      <c r="F545" s="100">
        <v>2</v>
      </c>
      <c r="G545" s="100">
        <v>0</v>
      </c>
      <c r="H545" s="100">
        <f>F545*AE545</f>
        <v>0</v>
      </c>
      <c r="I545" s="100">
        <f>J545-H545</f>
        <v>0</v>
      </c>
      <c r="J545" s="100">
        <f>F545*G545</f>
        <v>0</v>
      </c>
      <c r="K545" s="100">
        <v>0</v>
      </c>
      <c r="L545" s="100">
        <f>F545*K545</f>
        <v>0</v>
      </c>
      <c r="M545" s="101" t="s">
        <v>1667</v>
      </c>
      <c r="P545" s="14">
        <f>IF(AG545="5",J545,0)</f>
        <v>0</v>
      </c>
      <c r="R545" s="14">
        <f>IF(AG545="1",H545,0)</f>
        <v>0</v>
      </c>
      <c r="S545" s="14">
        <f>IF(AG545="1",I545,0)</f>
        <v>0</v>
      </c>
      <c r="T545" s="14">
        <f>IF(AG545="7",H545,0)</f>
        <v>0</v>
      </c>
      <c r="U545" s="14">
        <f>IF(AG545="7",I545,0)</f>
        <v>0</v>
      </c>
      <c r="V545" s="14">
        <f>IF(AG545="2",H545,0)</f>
        <v>0</v>
      </c>
      <c r="W545" s="14">
        <f>IF(AG545="2",I545,0)</f>
        <v>0</v>
      </c>
      <c r="X545" s="14">
        <f>IF(AG545="0",J545,0)</f>
        <v>0</v>
      </c>
      <c r="Y545" s="8" t="s">
        <v>406</v>
      </c>
      <c r="Z545" s="5">
        <f>IF(AD545=0,J545,0)</f>
        <v>0</v>
      </c>
      <c r="AA545" s="5">
        <f>IF(AD545=15,J545,0)</f>
        <v>0</v>
      </c>
      <c r="AB545" s="5">
        <f>IF(AD545=21,J545,0)</f>
        <v>0</v>
      </c>
      <c r="AD545" s="14">
        <v>15</v>
      </c>
      <c r="AE545" s="14">
        <f>G545*0</f>
        <v>0</v>
      </c>
      <c r="AF545" s="14">
        <f>G545*(1-0)</f>
        <v>0</v>
      </c>
      <c r="AG545" s="10" t="s">
        <v>13</v>
      </c>
      <c r="AM545" s="14">
        <f>F545*AE545</f>
        <v>0</v>
      </c>
      <c r="AN545" s="14">
        <f>F545*AF545</f>
        <v>0</v>
      </c>
      <c r="AO545" s="15" t="s">
        <v>1705</v>
      </c>
      <c r="AP545" s="15" t="s">
        <v>1735</v>
      </c>
      <c r="AQ545" s="8" t="s">
        <v>1769</v>
      </c>
      <c r="AS545" s="14">
        <f>AM545+AN545</f>
        <v>0</v>
      </c>
      <c r="AT545" s="14">
        <f>G545/(100-AU545)*100</f>
        <v>0</v>
      </c>
      <c r="AU545" s="14">
        <v>0</v>
      </c>
      <c r="AV545" s="14">
        <f>L545</f>
        <v>0</v>
      </c>
    </row>
    <row r="546" spans="1:13" ht="12.75">
      <c r="A546" s="102"/>
      <c r="B546" s="102"/>
      <c r="C546" s="102"/>
      <c r="D546" s="103" t="s">
        <v>8</v>
      </c>
      <c r="E546" s="102"/>
      <c r="F546" s="104">
        <v>2</v>
      </c>
      <c r="G546" s="102"/>
      <c r="H546" s="102"/>
      <c r="I546" s="102"/>
      <c r="J546" s="102"/>
      <c r="K546" s="102"/>
      <c r="L546" s="102"/>
      <c r="M546" s="102"/>
    </row>
    <row r="547" spans="1:48" ht="12.75">
      <c r="A547" s="99" t="s">
        <v>203</v>
      </c>
      <c r="B547" s="99" t="s">
        <v>406</v>
      </c>
      <c r="C547" s="99" t="s">
        <v>617</v>
      </c>
      <c r="D547" s="99" t="s">
        <v>1246</v>
      </c>
      <c r="E547" s="99" t="s">
        <v>1643</v>
      </c>
      <c r="F547" s="100">
        <v>3.9</v>
      </c>
      <c r="G547" s="100">
        <v>0</v>
      </c>
      <c r="H547" s="100">
        <f aca="true" t="shared" si="42" ref="H547:H553">F547*AE547</f>
        <v>0</v>
      </c>
      <c r="I547" s="100">
        <f aca="true" t="shared" si="43" ref="I547:I553">J547-H547</f>
        <v>0</v>
      </c>
      <c r="J547" s="100">
        <f aca="true" t="shared" si="44" ref="J547:J553">F547*G547</f>
        <v>0</v>
      </c>
      <c r="K547" s="100">
        <v>0</v>
      </c>
      <c r="L547" s="100">
        <f aca="true" t="shared" si="45" ref="L547:L553">F547*K547</f>
        <v>0</v>
      </c>
      <c r="M547" s="101" t="s">
        <v>1671</v>
      </c>
      <c r="P547" s="14">
        <f aca="true" t="shared" si="46" ref="P547:P553">IF(AG547="5",J547,0)</f>
        <v>0</v>
      </c>
      <c r="R547" s="14">
        <f aca="true" t="shared" si="47" ref="R547:R553">IF(AG547="1",H547,0)</f>
        <v>0</v>
      </c>
      <c r="S547" s="14">
        <f aca="true" t="shared" si="48" ref="S547:S553">IF(AG547="1",I547,0)</f>
        <v>0</v>
      </c>
      <c r="T547" s="14">
        <f aca="true" t="shared" si="49" ref="T547:T553">IF(AG547="7",H547,0)</f>
        <v>0</v>
      </c>
      <c r="U547" s="14">
        <f aca="true" t="shared" si="50" ref="U547:U553">IF(AG547="7",I547,0)</f>
        <v>0</v>
      </c>
      <c r="V547" s="14">
        <f aca="true" t="shared" si="51" ref="V547:V553">IF(AG547="2",H547,0)</f>
        <v>0</v>
      </c>
      <c r="W547" s="14">
        <f aca="true" t="shared" si="52" ref="W547:W553">IF(AG547="2",I547,0)</f>
        <v>0</v>
      </c>
      <c r="X547" s="14">
        <f aca="true" t="shared" si="53" ref="X547:X553">IF(AG547="0",J547,0)</f>
        <v>0</v>
      </c>
      <c r="Y547" s="8" t="s">
        <v>406</v>
      </c>
      <c r="Z547" s="5">
        <f aca="true" t="shared" si="54" ref="Z547:Z553">IF(AD547=0,J547,0)</f>
        <v>0</v>
      </c>
      <c r="AA547" s="5">
        <f aca="true" t="shared" si="55" ref="AA547:AA553">IF(AD547=15,J547,0)</f>
        <v>0</v>
      </c>
      <c r="AB547" s="5">
        <f aca="true" t="shared" si="56" ref="AB547:AB553">IF(AD547=21,J547,0)</f>
        <v>0</v>
      </c>
      <c r="AD547" s="14">
        <v>15</v>
      </c>
      <c r="AE547" s="14">
        <f aca="true" t="shared" si="57" ref="AE547:AE553">G547*0</f>
        <v>0</v>
      </c>
      <c r="AF547" s="14">
        <f aca="true" t="shared" si="58" ref="AF547:AF553">G547*(1-0)</f>
        <v>0</v>
      </c>
      <c r="AG547" s="10" t="s">
        <v>13</v>
      </c>
      <c r="AM547" s="14">
        <f aca="true" t="shared" si="59" ref="AM547:AM553">F547*AE547</f>
        <v>0</v>
      </c>
      <c r="AN547" s="14">
        <f aca="true" t="shared" si="60" ref="AN547:AN553">F547*AF547</f>
        <v>0</v>
      </c>
      <c r="AO547" s="15" t="s">
        <v>1705</v>
      </c>
      <c r="AP547" s="15" t="s">
        <v>1735</v>
      </c>
      <c r="AQ547" s="8" t="s">
        <v>1769</v>
      </c>
      <c r="AS547" s="14">
        <f aca="true" t="shared" si="61" ref="AS547:AS553">AM547+AN547</f>
        <v>0</v>
      </c>
      <c r="AT547" s="14">
        <f aca="true" t="shared" si="62" ref="AT547:AT553">G547/(100-AU547)*100</f>
        <v>0</v>
      </c>
      <c r="AU547" s="14">
        <v>0</v>
      </c>
      <c r="AV547" s="14">
        <f aca="true" t="shared" si="63" ref="AV547:AV553">L547</f>
        <v>0</v>
      </c>
    </row>
    <row r="548" spans="1:48" ht="12.75">
      <c r="A548" s="99" t="s">
        <v>204</v>
      </c>
      <c r="B548" s="99" t="s">
        <v>406</v>
      </c>
      <c r="C548" s="99" t="s">
        <v>618</v>
      </c>
      <c r="D548" s="99" t="s">
        <v>1247</v>
      </c>
      <c r="E548" s="99" t="s">
        <v>1645</v>
      </c>
      <c r="F548" s="100">
        <v>2</v>
      </c>
      <c r="G548" s="100">
        <v>0</v>
      </c>
      <c r="H548" s="100">
        <f t="shared" si="42"/>
        <v>0</v>
      </c>
      <c r="I548" s="100">
        <f t="shared" si="43"/>
        <v>0</v>
      </c>
      <c r="J548" s="100">
        <f t="shared" si="44"/>
        <v>0</v>
      </c>
      <c r="K548" s="100">
        <v>0</v>
      </c>
      <c r="L548" s="100">
        <f t="shared" si="45"/>
        <v>0</v>
      </c>
      <c r="M548" s="101" t="s">
        <v>1670</v>
      </c>
      <c r="P548" s="14">
        <f t="shared" si="46"/>
        <v>0</v>
      </c>
      <c r="R548" s="14">
        <f t="shared" si="47"/>
        <v>0</v>
      </c>
      <c r="S548" s="14">
        <f t="shared" si="48"/>
        <v>0</v>
      </c>
      <c r="T548" s="14">
        <f t="shared" si="49"/>
        <v>0</v>
      </c>
      <c r="U548" s="14">
        <f t="shared" si="50"/>
        <v>0</v>
      </c>
      <c r="V548" s="14">
        <f t="shared" si="51"/>
        <v>0</v>
      </c>
      <c r="W548" s="14">
        <f t="shared" si="52"/>
        <v>0</v>
      </c>
      <c r="X548" s="14">
        <f t="shared" si="53"/>
        <v>0</v>
      </c>
      <c r="Y548" s="8" t="s">
        <v>406</v>
      </c>
      <c r="Z548" s="5">
        <f t="shared" si="54"/>
        <v>0</v>
      </c>
      <c r="AA548" s="5">
        <f t="shared" si="55"/>
        <v>0</v>
      </c>
      <c r="AB548" s="5">
        <f t="shared" si="56"/>
        <v>0</v>
      </c>
      <c r="AD548" s="14">
        <v>15</v>
      </c>
      <c r="AE548" s="14">
        <f t="shared" si="57"/>
        <v>0</v>
      </c>
      <c r="AF548" s="14">
        <f t="shared" si="58"/>
        <v>0</v>
      </c>
      <c r="AG548" s="10" t="s">
        <v>13</v>
      </c>
      <c r="AM548" s="14">
        <f t="shared" si="59"/>
        <v>0</v>
      </c>
      <c r="AN548" s="14">
        <f t="shared" si="60"/>
        <v>0</v>
      </c>
      <c r="AO548" s="15" t="s">
        <v>1705</v>
      </c>
      <c r="AP548" s="15" t="s">
        <v>1735</v>
      </c>
      <c r="AQ548" s="8" t="s">
        <v>1769</v>
      </c>
      <c r="AS548" s="14">
        <f t="shared" si="61"/>
        <v>0</v>
      </c>
      <c r="AT548" s="14">
        <f t="shared" si="62"/>
        <v>0</v>
      </c>
      <c r="AU548" s="14">
        <v>0</v>
      </c>
      <c r="AV548" s="14">
        <f t="shared" si="63"/>
        <v>0</v>
      </c>
    </row>
    <row r="549" spans="1:48" ht="12.75">
      <c r="A549" s="99" t="s">
        <v>205</v>
      </c>
      <c r="B549" s="99" t="s">
        <v>406</v>
      </c>
      <c r="C549" s="99" t="s">
        <v>619</v>
      </c>
      <c r="D549" s="99" t="s">
        <v>1248</v>
      </c>
      <c r="E549" s="99" t="s">
        <v>1644</v>
      </c>
      <c r="F549" s="100">
        <v>1</v>
      </c>
      <c r="G549" s="100">
        <v>0</v>
      </c>
      <c r="H549" s="100">
        <f t="shared" si="42"/>
        <v>0</v>
      </c>
      <c r="I549" s="100">
        <f t="shared" si="43"/>
        <v>0</v>
      </c>
      <c r="J549" s="100">
        <f t="shared" si="44"/>
        <v>0</v>
      </c>
      <c r="K549" s="100">
        <v>0</v>
      </c>
      <c r="L549" s="100">
        <f t="shared" si="45"/>
        <v>0</v>
      </c>
      <c r="M549" s="101" t="s">
        <v>1667</v>
      </c>
      <c r="P549" s="14">
        <f t="shared" si="46"/>
        <v>0</v>
      </c>
      <c r="R549" s="14">
        <f t="shared" si="47"/>
        <v>0</v>
      </c>
      <c r="S549" s="14">
        <f t="shared" si="48"/>
        <v>0</v>
      </c>
      <c r="T549" s="14">
        <f t="shared" si="49"/>
        <v>0</v>
      </c>
      <c r="U549" s="14">
        <f t="shared" si="50"/>
        <v>0</v>
      </c>
      <c r="V549" s="14">
        <f t="shared" si="51"/>
        <v>0</v>
      </c>
      <c r="W549" s="14">
        <f t="shared" si="52"/>
        <v>0</v>
      </c>
      <c r="X549" s="14">
        <f t="shared" si="53"/>
        <v>0</v>
      </c>
      <c r="Y549" s="8" t="s">
        <v>406</v>
      </c>
      <c r="Z549" s="5">
        <f t="shared" si="54"/>
        <v>0</v>
      </c>
      <c r="AA549" s="5">
        <f t="shared" si="55"/>
        <v>0</v>
      </c>
      <c r="AB549" s="5">
        <f t="shared" si="56"/>
        <v>0</v>
      </c>
      <c r="AD549" s="14">
        <v>15</v>
      </c>
      <c r="AE549" s="14">
        <f t="shared" si="57"/>
        <v>0</v>
      </c>
      <c r="AF549" s="14">
        <f t="shared" si="58"/>
        <v>0</v>
      </c>
      <c r="AG549" s="10" t="s">
        <v>13</v>
      </c>
      <c r="AM549" s="14">
        <f t="shared" si="59"/>
        <v>0</v>
      </c>
      <c r="AN549" s="14">
        <f t="shared" si="60"/>
        <v>0</v>
      </c>
      <c r="AO549" s="15" t="s">
        <v>1705</v>
      </c>
      <c r="AP549" s="15" t="s">
        <v>1735</v>
      </c>
      <c r="AQ549" s="8" t="s">
        <v>1769</v>
      </c>
      <c r="AS549" s="14">
        <f t="shared" si="61"/>
        <v>0</v>
      </c>
      <c r="AT549" s="14">
        <f t="shared" si="62"/>
        <v>0</v>
      </c>
      <c r="AU549" s="14">
        <v>0</v>
      </c>
      <c r="AV549" s="14">
        <f t="shared" si="63"/>
        <v>0</v>
      </c>
    </row>
    <row r="550" spans="1:48" ht="12.75">
      <c r="A550" s="99" t="s">
        <v>206</v>
      </c>
      <c r="B550" s="99" t="s">
        <v>406</v>
      </c>
      <c r="C550" s="99" t="s">
        <v>620</v>
      </c>
      <c r="D550" s="99" t="s">
        <v>1249</v>
      </c>
      <c r="E550" s="99" t="s">
        <v>1644</v>
      </c>
      <c r="F550" s="100">
        <v>4</v>
      </c>
      <c r="G550" s="100">
        <v>0</v>
      </c>
      <c r="H550" s="100">
        <f t="shared" si="42"/>
        <v>0</v>
      </c>
      <c r="I550" s="100">
        <f t="shared" si="43"/>
        <v>0</v>
      </c>
      <c r="J550" s="100">
        <f t="shared" si="44"/>
        <v>0</v>
      </c>
      <c r="K550" s="100">
        <v>0</v>
      </c>
      <c r="L550" s="100">
        <f t="shared" si="45"/>
        <v>0</v>
      </c>
      <c r="M550" s="101" t="s">
        <v>1667</v>
      </c>
      <c r="P550" s="14">
        <f t="shared" si="46"/>
        <v>0</v>
      </c>
      <c r="R550" s="14">
        <f t="shared" si="47"/>
        <v>0</v>
      </c>
      <c r="S550" s="14">
        <f t="shared" si="48"/>
        <v>0</v>
      </c>
      <c r="T550" s="14">
        <f t="shared" si="49"/>
        <v>0</v>
      </c>
      <c r="U550" s="14">
        <f t="shared" si="50"/>
        <v>0</v>
      </c>
      <c r="V550" s="14">
        <f t="shared" si="51"/>
        <v>0</v>
      </c>
      <c r="W550" s="14">
        <f t="shared" si="52"/>
        <v>0</v>
      </c>
      <c r="X550" s="14">
        <f t="shared" si="53"/>
        <v>0</v>
      </c>
      <c r="Y550" s="8" t="s">
        <v>406</v>
      </c>
      <c r="Z550" s="5">
        <f t="shared" si="54"/>
        <v>0</v>
      </c>
      <c r="AA550" s="5">
        <f t="shared" si="55"/>
        <v>0</v>
      </c>
      <c r="AB550" s="5">
        <f t="shared" si="56"/>
        <v>0</v>
      </c>
      <c r="AD550" s="14">
        <v>15</v>
      </c>
      <c r="AE550" s="14">
        <f t="shared" si="57"/>
        <v>0</v>
      </c>
      <c r="AF550" s="14">
        <f t="shared" si="58"/>
        <v>0</v>
      </c>
      <c r="AG550" s="10" t="s">
        <v>13</v>
      </c>
      <c r="AM550" s="14">
        <f t="shared" si="59"/>
        <v>0</v>
      </c>
      <c r="AN550" s="14">
        <f t="shared" si="60"/>
        <v>0</v>
      </c>
      <c r="AO550" s="15" t="s">
        <v>1705</v>
      </c>
      <c r="AP550" s="15" t="s">
        <v>1735</v>
      </c>
      <c r="AQ550" s="8" t="s">
        <v>1769</v>
      </c>
      <c r="AS550" s="14">
        <f t="shared" si="61"/>
        <v>0</v>
      </c>
      <c r="AT550" s="14">
        <f t="shared" si="62"/>
        <v>0</v>
      </c>
      <c r="AU550" s="14">
        <v>0</v>
      </c>
      <c r="AV550" s="14">
        <f t="shared" si="63"/>
        <v>0</v>
      </c>
    </row>
    <row r="551" spans="1:48" ht="12.75">
      <c r="A551" s="99" t="s">
        <v>207</v>
      </c>
      <c r="B551" s="99" t="s">
        <v>406</v>
      </c>
      <c r="C551" s="99" t="s">
        <v>621</v>
      </c>
      <c r="D551" s="99" t="s">
        <v>1250</v>
      </c>
      <c r="E551" s="99" t="s">
        <v>1644</v>
      </c>
      <c r="F551" s="100">
        <v>1</v>
      </c>
      <c r="G551" s="100">
        <v>0</v>
      </c>
      <c r="H551" s="100">
        <f t="shared" si="42"/>
        <v>0</v>
      </c>
      <c r="I551" s="100">
        <f t="shared" si="43"/>
        <v>0</v>
      </c>
      <c r="J551" s="100">
        <f t="shared" si="44"/>
        <v>0</v>
      </c>
      <c r="K551" s="100">
        <v>0</v>
      </c>
      <c r="L551" s="100">
        <f t="shared" si="45"/>
        <v>0</v>
      </c>
      <c r="M551" s="101" t="s">
        <v>1667</v>
      </c>
      <c r="P551" s="14">
        <f t="shared" si="46"/>
        <v>0</v>
      </c>
      <c r="R551" s="14">
        <f t="shared" si="47"/>
        <v>0</v>
      </c>
      <c r="S551" s="14">
        <f t="shared" si="48"/>
        <v>0</v>
      </c>
      <c r="T551" s="14">
        <f t="shared" si="49"/>
        <v>0</v>
      </c>
      <c r="U551" s="14">
        <f t="shared" si="50"/>
        <v>0</v>
      </c>
      <c r="V551" s="14">
        <f t="shared" si="51"/>
        <v>0</v>
      </c>
      <c r="W551" s="14">
        <f t="shared" si="52"/>
        <v>0</v>
      </c>
      <c r="X551" s="14">
        <f t="shared" si="53"/>
        <v>0</v>
      </c>
      <c r="Y551" s="8" t="s">
        <v>406</v>
      </c>
      <c r="Z551" s="5">
        <f t="shared" si="54"/>
        <v>0</v>
      </c>
      <c r="AA551" s="5">
        <f t="shared" si="55"/>
        <v>0</v>
      </c>
      <c r="AB551" s="5">
        <f t="shared" si="56"/>
        <v>0</v>
      </c>
      <c r="AD551" s="14">
        <v>15</v>
      </c>
      <c r="AE551" s="14">
        <f t="shared" si="57"/>
        <v>0</v>
      </c>
      <c r="AF551" s="14">
        <f t="shared" si="58"/>
        <v>0</v>
      </c>
      <c r="AG551" s="10" t="s">
        <v>13</v>
      </c>
      <c r="AM551" s="14">
        <f t="shared" si="59"/>
        <v>0</v>
      </c>
      <c r="AN551" s="14">
        <f t="shared" si="60"/>
        <v>0</v>
      </c>
      <c r="AO551" s="15" t="s">
        <v>1705</v>
      </c>
      <c r="AP551" s="15" t="s">
        <v>1735</v>
      </c>
      <c r="AQ551" s="8" t="s">
        <v>1769</v>
      </c>
      <c r="AS551" s="14">
        <f t="shared" si="61"/>
        <v>0</v>
      </c>
      <c r="AT551" s="14">
        <f t="shared" si="62"/>
        <v>0</v>
      </c>
      <c r="AU551" s="14">
        <v>0</v>
      </c>
      <c r="AV551" s="14">
        <f t="shared" si="63"/>
        <v>0</v>
      </c>
    </row>
    <row r="552" spans="1:48" ht="12.75">
      <c r="A552" s="99" t="s">
        <v>208</v>
      </c>
      <c r="B552" s="99" t="s">
        <v>406</v>
      </c>
      <c r="C552" s="99" t="s">
        <v>622</v>
      </c>
      <c r="D552" s="99" t="s">
        <v>1251</v>
      </c>
      <c r="E552" s="99" t="s">
        <v>1644</v>
      </c>
      <c r="F552" s="100">
        <v>1</v>
      </c>
      <c r="G552" s="100">
        <v>0</v>
      </c>
      <c r="H552" s="100">
        <f t="shared" si="42"/>
        <v>0</v>
      </c>
      <c r="I552" s="100">
        <f t="shared" si="43"/>
        <v>0</v>
      </c>
      <c r="J552" s="100">
        <f t="shared" si="44"/>
        <v>0</v>
      </c>
      <c r="K552" s="100">
        <v>0</v>
      </c>
      <c r="L552" s="100">
        <f t="shared" si="45"/>
        <v>0</v>
      </c>
      <c r="M552" s="101" t="s">
        <v>1667</v>
      </c>
      <c r="P552" s="14">
        <f t="shared" si="46"/>
        <v>0</v>
      </c>
      <c r="R552" s="14">
        <f t="shared" si="47"/>
        <v>0</v>
      </c>
      <c r="S552" s="14">
        <f t="shared" si="48"/>
        <v>0</v>
      </c>
      <c r="T552" s="14">
        <f t="shared" si="49"/>
        <v>0</v>
      </c>
      <c r="U552" s="14">
        <f t="shared" si="50"/>
        <v>0</v>
      </c>
      <c r="V552" s="14">
        <f t="shared" si="51"/>
        <v>0</v>
      </c>
      <c r="W552" s="14">
        <f t="shared" si="52"/>
        <v>0</v>
      </c>
      <c r="X552" s="14">
        <f t="shared" si="53"/>
        <v>0</v>
      </c>
      <c r="Y552" s="8" t="s">
        <v>406</v>
      </c>
      <c r="Z552" s="5">
        <f t="shared" si="54"/>
        <v>0</v>
      </c>
      <c r="AA552" s="5">
        <f t="shared" si="55"/>
        <v>0</v>
      </c>
      <c r="AB552" s="5">
        <f t="shared" si="56"/>
        <v>0</v>
      </c>
      <c r="AD552" s="14">
        <v>15</v>
      </c>
      <c r="AE552" s="14">
        <f t="shared" si="57"/>
        <v>0</v>
      </c>
      <c r="AF552" s="14">
        <f t="shared" si="58"/>
        <v>0</v>
      </c>
      <c r="AG552" s="10" t="s">
        <v>13</v>
      </c>
      <c r="AM552" s="14">
        <f t="shared" si="59"/>
        <v>0</v>
      </c>
      <c r="AN552" s="14">
        <f t="shared" si="60"/>
        <v>0</v>
      </c>
      <c r="AO552" s="15" t="s">
        <v>1705</v>
      </c>
      <c r="AP552" s="15" t="s">
        <v>1735</v>
      </c>
      <c r="AQ552" s="8" t="s">
        <v>1769</v>
      </c>
      <c r="AS552" s="14">
        <f t="shared" si="61"/>
        <v>0</v>
      </c>
      <c r="AT552" s="14">
        <f t="shared" si="62"/>
        <v>0</v>
      </c>
      <c r="AU552" s="14">
        <v>0</v>
      </c>
      <c r="AV552" s="14">
        <f t="shared" si="63"/>
        <v>0</v>
      </c>
    </row>
    <row r="553" spans="1:48" ht="12.75">
      <c r="A553" s="99" t="s">
        <v>209</v>
      </c>
      <c r="B553" s="99" t="s">
        <v>406</v>
      </c>
      <c r="C553" s="99" t="s">
        <v>623</v>
      </c>
      <c r="D553" s="99" t="s">
        <v>1252</v>
      </c>
      <c r="E553" s="99" t="s">
        <v>1644</v>
      </c>
      <c r="F553" s="100">
        <v>1</v>
      </c>
      <c r="G553" s="100">
        <v>0</v>
      </c>
      <c r="H553" s="100">
        <f t="shared" si="42"/>
        <v>0</v>
      </c>
      <c r="I553" s="100">
        <f t="shared" si="43"/>
        <v>0</v>
      </c>
      <c r="J553" s="100">
        <f t="shared" si="44"/>
        <v>0</v>
      </c>
      <c r="K553" s="100">
        <v>0</v>
      </c>
      <c r="L553" s="100">
        <f t="shared" si="45"/>
        <v>0</v>
      </c>
      <c r="M553" s="101" t="s">
        <v>1669</v>
      </c>
      <c r="P553" s="14">
        <f t="shared" si="46"/>
        <v>0</v>
      </c>
      <c r="R553" s="14">
        <f t="shared" si="47"/>
        <v>0</v>
      </c>
      <c r="S553" s="14">
        <f t="shared" si="48"/>
        <v>0</v>
      </c>
      <c r="T553" s="14">
        <f t="shared" si="49"/>
        <v>0</v>
      </c>
      <c r="U553" s="14">
        <f t="shared" si="50"/>
        <v>0</v>
      </c>
      <c r="V553" s="14">
        <f t="shared" si="51"/>
        <v>0</v>
      </c>
      <c r="W553" s="14">
        <f t="shared" si="52"/>
        <v>0</v>
      </c>
      <c r="X553" s="14">
        <f t="shared" si="53"/>
        <v>0</v>
      </c>
      <c r="Y553" s="8" t="s">
        <v>406</v>
      </c>
      <c r="Z553" s="5">
        <f t="shared" si="54"/>
        <v>0</v>
      </c>
      <c r="AA553" s="5">
        <f t="shared" si="55"/>
        <v>0</v>
      </c>
      <c r="AB553" s="5">
        <f t="shared" si="56"/>
        <v>0</v>
      </c>
      <c r="AD553" s="14">
        <v>15</v>
      </c>
      <c r="AE553" s="14">
        <f t="shared" si="57"/>
        <v>0</v>
      </c>
      <c r="AF553" s="14">
        <f t="shared" si="58"/>
        <v>0</v>
      </c>
      <c r="AG553" s="10" t="s">
        <v>13</v>
      </c>
      <c r="AM553" s="14">
        <f t="shared" si="59"/>
        <v>0</v>
      </c>
      <c r="AN553" s="14">
        <f t="shared" si="60"/>
        <v>0</v>
      </c>
      <c r="AO553" s="15" t="s">
        <v>1705</v>
      </c>
      <c r="AP553" s="15" t="s">
        <v>1735</v>
      </c>
      <c r="AQ553" s="8" t="s">
        <v>1769</v>
      </c>
      <c r="AS553" s="14">
        <f t="shared" si="61"/>
        <v>0</v>
      </c>
      <c r="AT553" s="14">
        <f t="shared" si="62"/>
        <v>0</v>
      </c>
      <c r="AU553" s="14">
        <v>0</v>
      </c>
      <c r="AV553" s="14">
        <f t="shared" si="63"/>
        <v>0</v>
      </c>
    </row>
    <row r="554" spans="1:13" ht="12.75">
      <c r="A554" s="102"/>
      <c r="B554" s="102"/>
      <c r="C554" s="102"/>
      <c r="D554" s="103" t="s">
        <v>1253</v>
      </c>
      <c r="E554" s="102"/>
      <c r="F554" s="104">
        <v>1</v>
      </c>
      <c r="G554" s="102"/>
      <c r="H554" s="102"/>
      <c r="I554" s="102"/>
      <c r="J554" s="102"/>
      <c r="K554" s="102"/>
      <c r="L554" s="102"/>
      <c r="M554" s="102"/>
    </row>
    <row r="555" spans="1:48" ht="12.75">
      <c r="A555" s="99" t="s">
        <v>210</v>
      </c>
      <c r="B555" s="99" t="s">
        <v>406</v>
      </c>
      <c r="C555" s="99" t="s">
        <v>624</v>
      </c>
      <c r="D555" s="99" t="s">
        <v>1254</v>
      </c>
      <c r="E555" s="99" t="s">
        <v>1648</v>
      </c>
      <c r="F555" s="100">
        <v>217.77</v>
      </c>
      <c r="G555" s="100">
        <v>0</v>
      </c>
      <c r="H555" s="100">
        <f>F555*AE555</f>
        <v>0</v>
      </c>
      <c r="I555" s="100">
        <f>J555-H555</f>
        <v>0</v>
      </c>
      <c r="J555" s="100">
        <f>F555*G555</f>
        <v>0</v>
      </c>
      <c r="K555" s="100">
        <v>0</v>
      </c>
      <c r="L555" s="100">
        <f>F555*K555</f>
        <v>0</v>
      </c>
      <c r="M555" s="101" t="s">
        <v>1667</v>
      </c>
      <c r="P555" s="14">
        <f>IF(AG555="5",J555,0)</f>
        <v>0</v>
      </c>
      <c r="R555" s="14">
        <f>IF(AG555="1",H555,0)</f>
        <v>0</v>
      </c>
      <c r="S555" s="14">
        <f>IF(AG555="1",I555,0)</f>
        <v>0</v>
      </c>
      <c r="T555" s="14">
        <f>IF(AG555="7",H555,0)</f>
        <v>0</v>
      </c>
      <c r="U555" s="14">
        <f>IF(AG555="7",I555,0)</f>
        <v>0</v>
      </c>
      <c r="V555" s="14">
        <f>IF(AG555="2",H555,0)</f>
        <v>0</v>
      </c>
      <c r="W555" s="14">
        <f>IF(AG555="2",I555,0)</f>
        <v>0</v>
      </c>
      <c r="X555" s="14">
        <f>IF(AG555="0",J555,0)</f>
        <v>0</v>
      </c>
      <c r="Y555" s="8" t="s">
        <v>406</v>
      </c>
      <c r="Z555" s="5">
        <f>IF(AD555=0,J555,0)</f>
        <v>0</v>
      </c>
      <c r="AA555" s="5">
        <f>IF(AD555=15,J555,0)</f>
        <v>0</v>
      </c>
      <c r="AB555" s="5">
        <f>IF(AD555=21,J555,0)</f>
        <v>0</v>
      </c>
      <c r="AD555" s="14">
        <v>15</v>
      </c>
      <c r="AE555" s="14">
        <f>G555*0</f>
        <v>0</v>
      </c>
      <c r="AF555" s="14">
        <f>G555*(1-0)</f>
        <v>0</v>
      </c>
      <c r="AG555" s="10" t="s">
        <v>11</v>
      </c>
      <c r="AM555" s="14">
        <f>F555*AE555</f>
        <v>0</v>
      </c>
      <c r="AN555" s="14">
        <f>F555*AF555</f>
        <v>0</v>
      </c>
      <c r="AO555" s="15" t="s">
        <v>1705</v>
      </c>
      <c r="AP555" s="15" t="s">
        <v>1735</v>
      </c>
      <c r="AQ555" s="8" t="s">
        <v>1769</v>
      </c>
      <c r="AS555" s="14">
        <f>AM555+AN555</f>
        <v>0</v>
      </c>
      <c r="AT555" s="14">
        <f>G555/(100-AU555)*100</f>
        <v>0</v>
      </c>
      <c r="AU555" s="14">
        <v>0</v>
      </c>
      <c r="AV555" s="14">
        <f>L555</f>
        <v>0</v>
      </c>
    </row>
    <row r="556" spans="1:37" ht="12.75">
      <c r="A556" s="93"/>
      <c r="B556" s="94" t="s">
        <v>406</v>
      </c>
      <c r="C556" s="94" t="s">
        <v>625</v>
      </c>
      <c r="D556" s="95" t="s">
        <v>1255</v>
      </c>
      <c r="E556" s="96"/>
      <c r="F556" s="96"/>
      <c r="G556" s="96"/>
      <c r="H556" s="97">
        <f>SUM(H557:H582)</f>
        <v>0</v>
      </c>
      <c r="I556" s="97">
        <f>SUM(I557:I582)</f>
        <v>0</v>
      </c>
      <c r="J556" s="97">
        <f>H556+I556</f>
        <v>0</v>
      </c>
      <c r="K556" s="98"/>
      <c r="L556" s="97">
        <f>SUM(L557:L582)</f>
        <v>0.5325291999999999</v>
      </c>
      <c r="M556" s="98"/>
      <c r="Y556" s="8" t="s">
        <v>406</v>
      </c>
      <c r="AI556" s="16">
        <f>SUM(Z557:Z582)</f>
        <v>0</v>
      </c>
      <c r="AJ556" s="16">
        <f>SUM(AA557:AA582)</f>
        <v>0</v>
      </c>
      <c r="AK556" s="16">
        <f>SUM(AB557:AB582)</f>
        <v>0</v>
      </c>
    </row>
    <row r="557" spans="1:48" ht="12.75">
      <c r="A557" s="99" t="s">
        <v>211</v>
      </c>
      <c r="B557" s="99" t="s">
        <v>406</v>
      </c>
      <c r="C557" s="99" t="s">
        <v>626</v>
      </c>
      <c r="D557" s="99" t="s">
        <v>1256</v>
      </c>
      <c r="E557" s="99" t="s">
        <v>1640</v>
      </c>
      <c r="F557" s="100">
        <v>22.2</v>
      </c>
      <c r="G557" s="100">
        <v>0</v>
      </c>
      <c r="H557" s="100">
        <f>F557*AE557</f>
        <v>0</v>
      </c>
      <c r="I557" s="100">
        <f>J557-H557</f>
        <v>0</v>
      </c>
      <c r="J557" s="100">
        <f>F557*G557</f>
        <v>0</v>
      </c>
      <c r="K557" s="100">
        <v>0.00252</v>
      </c>
      <c r="L557" s="100">
        <f>F557*K557</f>
        <v>0.055944</v>
      </c>
      <c r="M557" s="101" t="s">
        <v>1667</v>
      </c>
      <c r="P557" s="14">
        <f>IF(AG557="5",J557,0)</f>
        <v>0</v>
      </c>
      <c r="R557" s="14">
        <f>IF(AG557="1",H557,0)</f>
        <v>0</v>
      </c>
      <c r="S557" s="14">
        <f>IF(AG557="1",I557,0)</f>
        <v>0</v>
      </c>
      <c r="T557" s="14">
        <f>IF(AG557="7",H557,0)</f>
        <v>0</v>
      </c>
      <c r="U557" s="14">
        <f>IF(AG557="7",I557,0)</f>
        <v>0</v>
      </c>
      <c r="V557" s="14">
        <f>IF(AG557="2",H557,0)</f>
        <v>0</v>
      </c>
      <c r="W557" s="14">
        <f>IF(AG557="2",I557,0)</f>
        <v>0</v>
      </c>
      <c r="X557" s="14">
        <f>IF(AG557="0",J557,0)</f>
        <v>0</v>
      </c>
      <c r="Y557" s="8" t="s">
        <v>406</v>
      </c>
      <c r="Z557" s="5">
        <f>IF(AD557=0,J557,0)</f>
        <v>0</v>
      </c>
      <c r="AA557" s="5">
        <f>IF(AD557=15,J557,0)</f>
        <v>0</v>
      </c>
      <c r="AB557" s="5">
        <f>IF(AD557=21,J557,0)</f>
        <v>0</v>
      </c>
      <c r="AD557" s="14">
        <v>15</v>
      </c>
      <c r="AE557" s="14">
        <f>G557*0.152908653846154</f>
        <v>0</v>
      </c>
      <c r="AF557" s="14">
        <f>G557*(1-0.152908653846154)</f>
        <v>0</v>
      </c>
      <c r="AG557" s="10" t="s">
        <v>13</v>
      </c>
      <c r="AM557" s="14">
        <f>F557*AE557</f>
        <v>0</v>
      </c>
      <c r="AN557" s="14">
        <f>F557*AF557</f>
        <v>0</v>
      </c>
      <c r="AO557" s="15" t="s">
        <v>1706</v>
      </c>
      <c r="AP557" s="15" t="s">
        <v>1736</v>
      </c>
      <c r="AQ557" s="8" t="s">
        <v>1769</v>
      </c>
      <c r="AS557" s="14">
        <f>AM557+AN557</f>
        <v>0</v>
      </c>
      <c r="AT557" s="14">
        <f>G557/(100-AU557)*100</f>
        <v>0</v>
      </c>
      <c r="AU557" s="14">
        <v>0</v>
      </c>
      <c r="AV557" s="14">
        <f>L557</f>
        <v>0.055944</v>
      </c>
    </row>
    <row r="558" spans="1:13" ht="12.75">
      <c r="A558" s="102"/>
      <c r="B558" s="102"/>
      <c r="C558" s="102"/>
      <c r="D558" s="103" t="s">
        <v>1257</v>
      </c>
      <c r="E558" s="102"/>
      <c r="F558" s="104">
        <v>11</v>
      </c>
      <c r="G558" s="102"/>
      <c r="H558" s="102"/>
      <c r="I558" s="102"/>
      <c r="J558" s="102"/>
      <c r="K558" s="102"/>
      <c r="L558" s="102"/>
      <c r="M558" s="102"/>
    </row>
    <row r="559" spans="1:13" ht="12.75">
      <c r="A559" s="102"/>
      <c r="B559" s="102"/>
      <c r="C559" s="102"/>
      <c r="D559" s="103" t="s">
        <v>1258</v>
      </c>
      <c r="E559" s="102"/>
      <c r="F559" s="104">
        <v>6.5</v>
      </c>
      <c r="G559" s="102"/>
      <c r="H559" s="102"/>
      <c r="I559" s="102"/>
      <c r="J559" s="102"/>
      <c r="K559" s="102"/>
      <c r="L559" s="102"/>
      <c r="M559" s="102"/>
    </row>
    <row r="560" spans="1:13" ht="12.75">
      <c r="A560" s="102"/>
      <c r="B560" s="102"/>
      <c r="C560" s="102"/>
      <c r="D560" s="103" t="s">
        <v>1259</v>
      </c>
      <c r="E560" s="102"/>
      <c r="F560" s="104">
        <v>2.5</v>
      </c>
      <c r="G560" s="102"/>
      <c r="H560" s="102"/>
      <c r="I560" s="102"/>
      <c r="J560" s="102"/>
      <c r="K560" s="102"/>
      <c r="L560" s="102"/>
      <c r="M560" s="102"/>
    </row>
    <row r="561" spans="1:13" ht="12.75">
      <c r="A561" s="102"/>
      <c r="B561" s="102"/>
      <c r="C561" s="102"/>
      <c r="D561" s="103" t="s">
        <v>1260</v>
      </c>
      <c r="E561" s="102"/>
      <c r="F561" s="104">
        <v>2.2</v>
      </c>
      <c r="G561" s="102"/>
      <c r="H561" s="102"/>
      <c r="I561" s="102"/>
      <c r="J561" s="102"/>
      <c r="K561" s="102"/>
      <c r="L561" s="102"/>
      <c r="M561" s="102"/>
    </row>
    <row r="562" spans="1:48" ht="12.75">
      <c r="A562" s="99" t="s">
        <v>212</v>
      </c>
      <c r="B562" s="99" t="s">
        <v>406</v>
      </c>
      <c r="C562" s="99" t="s">
        <v>627</v>
      </c>
      <c r="D562" s="99" t="s">
        <v>1261</v>
      </c>
      <c r="E562" s="99" t="s">
        <v>1643</v>
      </c>
      <c r="F562" s="100">
        <v>2.7</v>
      </c>
      <c r="G562" s="100">
        <v>0</v>
      </c>
      <c r="H562" s="100">
        <f>F562*AE562</f>
        <v>0</v>
      </c>
      <c r="I562" s="100">
        <f>J562-H562</f>
        <v>0</v>
      </c>
      <c r="J562" s="100">
        <f>F562*G562</f>
        <v>0</v>
      </c>
      <c r="K562" s="100">
        <v>0.00044</v>
      </c>
      <c r="L562" s="100">
        <f>F562*K562</f>
        <v>0.001188</v>
      </c>
      <c r="M562" s="101" t="s">
        <v>1667</v>
      </c>
      <c r="P562" s="14">
        <f>IF(AG562="5",J562,0)</f>
        <v>0</v>
      </c>
      <c r="R562" s="14">
        <f>IF(AG562="1",H562,0)</f>
        <v>0</v>
      </c>
      <c r="S562" s="14">
        <f>IF(AG562="1",I562,0)</f>
        <v>0</v>
      </c>
      <c r="T562" s="14">
        <f>IF(AG562="7",H562,0)</f>
        <v>0</v>
      </c>
      <c r="U562" s="14">
        <f>IF(AG562="7",I562,0)</f>
        <v>0</v>
      </c>
      <c r="V562" s="14">
        <f>IF(AG562="2",H562,0)</f>
        <v>0</v>
      </c>
      <c r="W562" s="14">
        <f>IF(AG562="2",I562,0)</f>
        <v>0</v>
      </c>
      <c r="X562" s="14">
        <f>IF(AG562="0",J562,0)</f>
        <v>0</v>
      </c>
      <c r="Y562" s="8" t="s">
        <v>406</v>
      </c>
      <c r="Z562" s="5">
        <f>IF(AD562=0,J562,0)</f>
        <v>0</v>
      </c>
      <c r="AA562" s="5">
        <f>IF(AD562=15,J562,0)</f>
        <v>0</v>
      </c>
      <c r="AB562" s="5">
        <f>IF(AD562=21,J562,0)</f>
        <v>0</v>
      </c>
      <c r="AD562" s="14">
        <v>15</v>
      </c>
      <c r="AE562" s="14">
        <f>G562*0.87344262295082</f>
        <v>0</v>
      </c>
      <c r="AF562" s="14">
        <f>G562*(1-0.87344262295082)</f>
        <v>0</v>
      </c>
      <c r="AG562" s="10" t="s">
        <v>13</v>
      </c>
      <c r="AM562" s="14">
        <f>F562*AE562</f>
        <v>0</v>
      </c>
      <c r="AN562" s="14">
        <f>F562*AF562</f>
        <v>0</v>
      </c>
      <c r="AO562" s="15" t="s">
        <v>1706</v>
      </c>
      <c r="AP562" s="15" t="s">
        <v>1736</v>
      </c>
      <c r="AQ562" s="8" t="s">
        <v>1769</v>
      </c>
      <c r="AS562" s="14">
        <f>AM562+AN562</f>
        <v>0</v>
      </c>
      <c r="AT562" s="14">
        <f>G562/(100-AU562)*100</f>
        <v>0</v>
      </c>
      <c r="AU562" s="14">
        <v>0</v>
      </c>
      <c r="AV562" s="14">
        <f>L562</f>
        <v>0.001188</v>
      </c>
    </row>
    <row r="563" spans="1:13" ht="12.75">
      <c r="A563" s="102"/>
      <c r="B563" s="102"/>
      <c r="C563" s="102"/>
      <c r="D563" s="103" t="s">
        <v>1262</v>
      </c>
      <c r="E563" s="102"/>
      <c r="F563" s="104">
        <v>2.1</v>
      </c>
      <c r="G563" s="102"/>
      <c r="H563" s="102"/>
      <c r="I563" s="102"/>
      <c r="J563" s="102"/>
      <c r="K563" s="102"/>
      <c r="L563" s="102"/>
      <c r="M563" s="102"/>
    </row>
    <row r="564" spans="1:13" ht="12.75">
      <c r="A564" s="102"/>
      <c r="B564" s="102"/>
      <c r="C564" s="102"/>
      <c r="D564" s="103" t="s">
        <v>1263</v>
      </c>
      <c r="E564" s="102"/>
      <c r="F564" s="104">
        <v>0.6</v>
      </c>
      <c r="G564" s="102"/>
      <c r="H564" s="102"/>
      <c r="I564" s="102"/>
      <c r="J564" s="102"/>
      <c r="K564" s="102"/>
      <c r="L564" s="102"/>
      <c r="M564" s="102"/>
    </row>
    <row r="565" spans="1:48" ht="12.75">
      <c r="A565" s="99" t="s">
        <v>213</v>
      </c>
      <c r="B565" s="99" t="s">
        <v>406</v>
      </c>
      <c r="C565" s="99" t="s">
        <v>628</v>
      </c>
      <c r="D565" s="99" t="s">
        <v>1264</v>
      </c>
      <c r="E565" s="99" t="s">
        <v>1640</v>
      </c>
      <c r="F565" s="100">
        <v>22.2</v>
      </c>
      <c r="G565" s="100">
        <v>0</v>
      </c>
      <c r="H565" s="100">
        <f>F565*AE565</f>
        <v>0</v>
      </c>
      <c r="I565" s="100">
        <f>J565-H565</f>
        <v>0</v>
      </c>
      <c r="J565" s="100">
        <f>F565*G565</f>
        <v>0</v>
      </c>
      <c r="K565" s="100">
        <v>0.00021</v>
      </c>
      <c r="L565" s="100">
        <f>F565*K565</f>
        <v>0.004662</v>
      </c>
      <c r="M565" s="101" t="s">
        <v>1667</v>
      </c>
      <c r="P565" s="14">
        <f>IF(AG565="5",J565,0)</f>
        <v>0</v>
      </c>
      <c r="R565" s="14">
        <f>IF(AG565="1",H565,0)</f>
        <v>0</v>
      </c>
      <c r="S565" s="14">
        <f>IF(AG565="1",I565,0)</f>
        <v>0</v>
      </c>
      <c r="T565" s="14">
        <f>IF(AG565="7",H565,0)</f>
        <v>0</v>
      </c>
      <c r="U565" s="14">
        <f>IF(AG565="7",I565,0)</f>
        <v>0</v>
      </c>
      <c r="V565" s="14">
        <f>IF(AG565="2",H565,0)</f>
        <v>0</v>
      </c>
      <c r="W565" s="14">
        <f>IF(AG565="2",I565,0)</f>
        <v>0</v>
      </c>
      <c r="X565" s="14">
        <f>IF(AG565="0",J565,0)</f>
        <v>0</v>
      </c>
      <c r="Y565" s="8" t="s">
        <v>406</v>
      </c>
      <c r="Z565" s="5">
        <f>IF(AD565=0,J565,0)</f>
        <v>0</v>
      </c>
      <c r="AA565" s="5">
        <f>IF(AD565=15,J565,0)</f>
        <v>0</v>
      </c>
      <c r="AB565" s="5">
        <f>IF(AD565=21,J565,0)</f>
        <v>0</v>
      </c>
      <c r="AD565" s="14">
        <v>15</v>
      </c>
      <c r="AE565" s="14">
        <f>G565*0.533419689119171</f>
        <v>0</v>
      </c>
      <c r="AF565" s="14">
        <f>G565*(1-0.533419689119171)</f>
        <v>0</v>
      </c>
      <c r="AG565" s="10" t="s">
        <v>13</v>
      </c>
      <c r="AM565" s="14">
        <f>F565*AE565</f>
        <v>0</v>
      </c>
      <c r="AN565" s="14">
        <f>F565*AF565</f>
        <v>0</v>
      </c>
      <c r="AO565" s="15" t="s">
        <v>1706</v>
      </c>
      <c r="AP565" s="15" t="s">
        <v>1736</v>
      </c>
      <c r="AQ565" s="8" t="s">
        <v>1769</v>
      </c>
      <c r="AS565" s="14">
        <f>AM565+AN565</f>
        <v>0</v>
      </c>
      <c r="AT565" s="14">
        <f>G565/(100-AU565)*100</f>
        <v>0</v>
      </c>
      <c r="AU565" s="14">
        <v>0</v>
      </c>
      <c r="AV565" s="14">
        <f>L565</f>
        <v>0.004662</v>
      </c>
    </row>
    <row r="566" spans="1:13" ht="12.75">
      <c r="A566" s="102"/>
      <c r="B566" s="102"/>
      <c r="C566" s="102"/>
      <c r="D566" s="103" t="s">
        <v>1265</v>
      </c>
      <c r="E566" s="102"/>
      <c r="F566" s="104">
        <v>11</v>
      </c>
      <c r="G566" s="102"/>
      <c r="H566" s="102"/>
      <c r="I566" s="102"/>
      <c r="J566" s="102"/>
      <c r="K566" s="102"/>
      <c r="L566" s="102"/>
      <c r="M566" s="102"/>
    </row>
    <row r="567" spans="1:13" ht="12.75">
      <c r="A567" s="102"/>
      <c r="B567" s="102"/>
      <c r="C567" s="102"/>
      <c r="D567" s="103" t="s">
        <v>1018</v>
      </c>
      <c r="E567" s="102"/>
      <c r="F567" s="104">
        <v>6.5</v>
      </c>
      <c r="G567" s="102"/>
      <c r="H567" s="102"/>
      <c r="I567" s="102"/>
      <c r="J567" s="102"/>
      <c r="K567" s="102"/>
      <c r="L567" s="102"/>
      <c r="M567" s="102"/>
    </row>
    <row r="568" spans="1:13" ht="12.75">
      <c r="A568" s="102"/>
      <c r="B568" s="102"/>
      <c r="C568" s="102"/>
      <c r="D568" s="103" t="s">
        <v>1259</v>
      </c>
      <c r="E568" s="102"/>
      <c r="F568" s="104">
        <v>2.5</v>
      </c>
      <c r="G568" s="102"/>
      <c r="H568" s="102"/>
      <c r="I568" s="102"/>
      <c r="J568" s="102"/>
      <c r="K568" s="102"/>
      <c r="L568" s="102"/>
      <c r="M568" s="102"/>
    </row>
    <row r="569" spans="1:13" ht="12.75">
      <c r="A569" s="102"/>
      <c r="B569" s="102"/>
      <c r="C569" s="102"/>
      <c r="D569" s="103" t="s">
        <v>1260</v>
      </c>
      <c r="E569" s="102"/>
      <c r="F569" s="104">
        <v>2.2</v>
      </c>
      <c r="G569" s="102"/>
      <c r="H569" s="102"/>
      <c r="I569" s="102"/>
      <c r="J569" s="102"/>
      <c r="K569" s="102"/>
      <c r="L569" s="102"/>
      <c r="M569" s="102"/>
    </row>
    <row r="570" spans="1:48" ht="12.75">
      <c r="A570" s="99" t="s">
        <v>214</v>
      </c>
      <c r="B570" s="99" t="s">
        <v>406</v>
      </c>
      <c r="C570" s="99" t="s">
        <v>629</v>
      </c>
      <c r="D570" s="99" t="s">
        <v>1266</v>
      </c>
      <c r="E570" s="99" t="s">
        <v>1643</v>
      </c>
      <c r="F570" s="100">
        <v>12.11</v>
      </c>
      <c r="G570" s="100">
        <v>0</v>
      </c>
      <c r="H570" s="100">
        <f>F570*AE570</f>
        <v>0</v>
      </c>
      <c r="I570" s="100">
        <f>J570-H570</f>
        <v>0</v>
      </c>
      <c r="J570" s="100">
        <f>F570*G570</f>
        <v>0</v>
      </c>
      <c r="K570" s="100">
        <v>0.00032</v>
      </c>
      <c r="L570" s="100">
        <f>F570*K570</f>
        <v>0.0038752</v>
      </c>
      <c r="M570" s="101" t="s">
        <v>1667</v>
      </c>
      <c r="P570" s="14">
        <f>IF(AG570="5",J570,0)</f>
        <v>0</v>
      </c>
      <c r="R570" s="14">
        <f>IF(AG570="1",H570,0)</f>
        <v>0</v>
      </c>
      <c r="S570" s="14">
        <f>IF(AG570="1",I570,0)</f>
        <v>0</v>
      </c>
      <c r="T570" s="14">
        <f>IF(AG570="7",H570,0)</f>
        <v>0</v>
      </c>
      <c r="U570" s="14">
        <f>IF(AG570="7",I570,0)</f>
        <v>0</v>
      </c>
      <c r="V570" s="14">
        <f>IF(AG570="2",H570,0)</f>
        <v>0</v>
      </c>
      <c r="W570" s="14">
        <f>IF(AG570="2",I570,0)</f>
        <v>0</v>
      </c>
      <c r="X570" s="14">
        <f>IF(AG570="0",J570,0)</f>
        <v>0</v>
      </c>
      <c r="Y570" s="8" t="s">
        <v>406</v>
      </c>
      <c r="Z570" s="5">
        <f>IF(AD570=0,J570,0)</f>
        <v>0</v>
      </c>
      <c r="AA570" s="5">
        <f>IF(AD570=15,J570,0)</f>
        <v>0</v>
      </c>
      <c r="AB570" s="5">
        <f>IF(AD570=21,J570,0)</f>
        <v>0</v>
      </c>
      <c r="AD570" s="14">
        <v>15</v>
      </c>
      <c r="AE570" s="14">
        <f>G570*0.0855913978494624</f>
        <v>0</v>
      </c>
      <c r="AF570" s="14">
        <f>G570*(1-0.0855913978494624)</f>
        <v>0</v>
      </c>
      <c r="AG570" s="10" t="s">
        <v>13</v>
      </c>
      <c r="AM570" s="14">
        <f>F570*AE570</f>
        <v>0</v>
      </c>
      <c r="AN570" s="14">
        <f>F570*AF570</f>
        <v>0</v>
      </c>
      <c r="AO570" s="15" t="s">
        <v>1706</v>
      </c>
      <c r="AP570" s="15" t="s">
        <v>1736</v>
      </c>
      <c r="AQ570" s="8" t="s">
        <v>1769</v>
      </c>
      <c r="AS570" s="14">
        <f>AM570+AN570</f>
        <v>0</v>
      </c>
      <c r="AT570" s="14">
        <f>G570/(100-AU570)*100</f>
        <v>0</v>
      </c>
      <c r="AU570" s="14">
        <v>0</v>
      </c>
      <c r="AV570" s="14">
        <f>L570</f>
        <v>0.0038752</v>
      </c>
    </row>
    <row r="571" spans="1:13" ht="12.75">
      <c r="A571" s="102"/>
      <c r="B571" s="102"/>
      <c r="C571" s="102"/>
      <c r="D571" s="103" t="s">
        <v>1267</v>
      </c>
      <c r="E571" s="102"/>
      <c r="F571" s="104">
        <v>6.58</v>
      </c>
      <c r="G571" s="102"/>
      <c r="H571" s="102"/>
      <c r="I571" s="102"/>
      <c r="J571" s="102"/>
      <c r="K571" s="102"/>
      <c r="L571" s="102"/>
      <c r="M571" s="102"/>
    </row>
    <row r="572" spans="1:13" ht="12.75">
      <c r="A572" s="102"/>
      <c r="B572" s="102"/>
      <c r="C572" s="102"/>
      <c r="D572" s="103" t="s">
        <v>1058</v>
      </c>
      <c r="E572" s="102"/>
      <c r="F572" s="104">
        <v>-0.7</v>
      </c>
      <c r="G572" s="102"/>
      <c r="H572" s="102"/>
      <c r="I572" s="102"/>
      <c r="J572" s="102"/>
      <c r="K572" s="102"/>
      <c r="L572" s="102"/>
      <c r="M572" s="102"/>
    </row>
    <row r="573" spans="1:13" ht="12.75">
      <c r="A573" s="102"/>
      <c r="B573" s="102"/>
      <c r="C573" s="102"/>
      <c r="D573" s="103" t="s">
        <v>1268</v>
      </c>
      <c r="E573" s="102"/>
      <c r="F573" s="104">
        <v>6.83</v>
      </c>
      <c r="G573" s="102"/>
      <c r="H573" s="102"/>
      <c r="I573" s="102"/>
      <c r="J573" s="102"/>
      <c r="K573" s="102"/>
      <c r="L573" s="102"/>
      <c r="M573" s="102"/>
    </row>
    <row r="574" spans="1:13" ht="12.75">
      <c r="A574" s="102"/>
      <c r="B574" s="102"/>
      <c r="C574" s="102"/>
      <c r="D574" s="103" t="s">
        <v>1269</v>
      </c>
      <c r="E574" s="102"/>
      <c r="F574" s="104">
        <v>-0.6</v>
      </c>
      <c r="G574" s="102"/>
      <c r="H574" s="102"/>
      <c r="I574" s="102"/>
      <c r="J574" s="102"/>
      <c r="K574" s="102"/>
      <c r="L574" s="102"/>
      <c r="M574" s="102"/>
    </row>
    <row r="575" spans="1:48" ht="12.75">
      <c r="A575" s="99" t="s">
        <v>215</v>
      </c>
      <c r="B575" s="99" t="s">
        <v>406</v>
      </c>
      <c r="C575" s="99" t="s">
        <v>630</v>
      </c>
      <c r="D575" s="99" t="s">
        <v>1270</v>
      </c>
      <c r="E575" s="99" t="s">
        <v>1643</v>
      </c>
      <c r="F575" s="100">
        <v>27</v>
      </c>
      <c r="G575" s="100">
        <v>0</v>
      </c>
      <c r="H575" s="100">
        <f>F575*AE575</f>
        <v>0</v>
      </c>
      <c r="I575" s="100">
        <f>J575-H575</f>
        <v>0</v>
      </c>
      <c r="J575" s="100">
        <f>F575*G575</f>
        <v>0</v>
      </c>
      <c r="K575" s="100">
        <v>6E-05</v>
      </c>
      <c r="L575" s="100">
        <f>F575*K575</f>
        <v>0.0016200000000000001</v>
      </c>
      <c r="M575" s="101" t="s">
        <v>1667</v>
      </c>
      <c r="P575" s="14">
        <f>IF(AG575="5",J575,0)</f>
        <v>0</v>
      </c>
      <c r="R575" s="14">
        <f>IF(AG575="1",H575,0)</f>
        <v>0</v>
      </c>
      <c r="S575" s="14">
        <f>IF(AG575="1",I575,0)</f>
        <v>0</v>
      </c>
      <c r="T575" s="14">
        <f>IF(AG575="7",H575,0)</f>
        <v>0</v>
      </c>
      <c r="U575" s="14">
        <f>IF(AG575="7",I575,0)</f>
        <v>0</v>
      </c>
      <c r="V575" s="14">
        <f>IF(AG575="2",H575,0)</f>
        <v>0</v>
      </c>
      <c r="W575" s="14">
        <f>IF(AG575="2",I575,0)</f>
        <v>0</v>
      </c>
      <c r="X575" s="14">
        <f>IF(AG575="0",J575,0)</f>
        <v>0</v>
      </c>
      <c r="Y575" s="8" t="s">
        <v>406</v>
      </c>
      <c r="Z575" s="5">
        <f>IF(AD575=0,J575,0)</f>
        <v>0</v>
      </c>
      <c r="AA575" s="5">
        <f>IF(AD575=15,J575,0)</f>
        <v>0</v>
      </c>
      <c r="AB575" s="5">
        <f>IF(AD575=21,J575,0)</f>
        <v>0</v>
      </c>
      <c r="AD575" s="14">
        <v>15</v>
      </c>
      <c r="AE575" s="14">
        <f>G575*0.403782505910166</f>
        <v>0</v>
      </c>
      <c r="AF575" s="14">
        <f>G575*(1-0.403782505910166)</f>
        <v>0</v>
      </c>
      <c r="AG575" s="10" t="s">
        <v>13</v>
      </c>
      <c r="AM575" s="14">
        <f>F575*AE575</f>
        <v>0</v>
      </c>
      <c r="AN575" s="14">
        <f>F575*AF575</f>
        <v>0</v>
      </c>
      <c r="AO575" s="15" t="s">
        <v>1706</v>
      </c>
      <c r="AP575" s="15" t="s">
        <v>1736</v>
      </c>
      <c r="AQ575" s="8" t="s">
        <v>1769</v>
      </c>
      <c r="AS575" s="14">
        <f>AM575+AN575</f>
        <v>0</v>
      </c>
      <c r="AT575" s="14">
        <f>G575/(100-AU575)*100</f>
        <v>0</v>
      </c>
      <c r="AU575" s="14">
        <v>0</v>
      </c>
      <c r="AV575" s="14">
        <f>L575</f>
        <v>0.0016200000000000001</v>
      </c>
    </row>
    <row r="576" spans="1:48" ht="12.75">
      <c r="A576" s="99" t="s">
        <v>216</v>
      </c>
      <c r="B576" s="99" t="s">
        <v>406</v>
      </c>
      <c r="C576" s="99" t="s">
        <v>631</v>
      </c>
      <c r="D576" s="99" t="s">
        <v>1271</v>
      </c>
      <c r="E576" s="99" t="s">
        <v>1640</v>
      </c>
      <c r="F576" s="100">
        <v>4.7</v>
      </c>
      <c r="G576" s="100">
        <v>0</v>
      </c>
      <c r="H576" s="100">
        <f>F576*AE576</f>
        <v>0</v>
      </c>
      <c r="I576" s="100">
        <f>J576-H576</f>
        <v>0</v>
      </c>
      <c r="J576" s="100">
        <f>F576*G576</f>
        <v>0</v>
      </c>
      <c r="K576" s="100">
        <v>0</v>
      </c>
      <c r="L576" s="100">
        <f>F576*K576</f>
        <v>0</v>
      </c>
      <c r="M576" s="101" t="s">
        <v>1667</v>
      </c>
      <c r="P576" s="14">
        <f>IF(AG576="5",J576,0)</f>
        <v>0</v>
      </c>
      <c r="R576" s="14">
        <f>IF(AG576="1",H576,0)</f>
        <v>0</v>
      </c>
      <c r="S576" s="14">
        <f>IF(AG576="1",I576,0)</f>
        <v>0</v>
      </c>
      <c r="T576" s="14">
        <f>IF(AG576="7",H576,0)</f>
        <v>0</v>
      </c>
      <c r="U576" s="14">
        <f>IF(AG576="7",I576,0)</f>
        <v>0</v>
      </c>
      <c r="V576" s="14">
        <f>IF(AG576="2",H576,0)</f>
        <v>0</v>
      </c>
      <c r="W576" s="14">
        <f>IF(AG576="2",I576,0)</f>
        <v>0</v>
      </c>
      <c r="X576" s="14">
        <f>IF(AG576="0",J576,0)</f>
        <v>0</v>
      </c>
      <c r="Y576" s="8" t="s">
        <v>406</v>
      </c>
      <c r="Z576" s="5">
        <f>IF(AD576=0,J576,0)</f>
        <v>0</v>
      </c>
      <c r="AA576" s="5">
        <f>IF(AD576=15,J576,0)</f>
        <v>0</v>
      </c>
      <c r="AB576" s="5">
        <f>IF(AD576=21,J576,0)</f>
        <v>0</v>
      </c>
      <c r="AD576" s="14">
        <v>15</v>
      </c>
      <c r="AE576" s="14">
        <f>G576*0</f>
        <v>0</v>
      </c>
      <c r="AF576" s="14">
        <f>G576*(1-0)</f>
        <v>0</v>
      </c>
      <c r="AG576" s="10" t="s">
        <v>13</v>
      </c>
      <c r="AM576" s="14">
        <f>F576*AE576</f>
        <v>0</v>
      </c>
      <c r="AN576" s="14">
        <f>F576*AF576</f>
        <v>0</v>
      </c>
      <c r="AO576" s="15" t="s">
        <v>1706</v>
      </c>
      <c r="AP576" s="15" t="s">
        <v>1736</v>
      </c>
      <c r="AQ576" s="8" t="s">
        <v>1769</v>
      </c>
      <c r="AS576" s="14">
        <f>AM576+AN576</f>
        <v>0</v>
      </c>
      <c r="AT576" s="14">
        <f>G576/(100-AU576)*100</f>
        <v>0</v>
      </c>
      <c r="AU576" s="14">
        <v>0</v>
      </c>
      <c r="AV576" s="14">
        <f>L576</f>
        <v>0</v>
      </c>
    </row>
    <row r="577" spans="1:48" ht="12.75">
      <c r="A577" s="99" t="s">
        <v>217</v>
      </c>
      <c r="B577" s="99" t="s">
        <v>406</v>
      </c>
      <c r="C577" s="99" t="s">
        <v>632</v>
      </c>
      <c r="D577" s="99" t="s">
        <v>1272</v>
      </c>
      <c r="E577" s="99" t="s">
        <v>1640</v>
      </c>
      <c r="F577" s="100">
        <v>22.2</v>
      </c>
      <c r="G577" s="100">
        <v>0</v>
      </c>
      <c r="H577" s="100">
        <f>F577*AE577</f>
        <v>0</v>
      </c>
      <c r="I577" s="100">
        <f>J577-H577</f>
        <v>0</v>
      </c>
      <c r="J577" s="100">
        <f>F577*G577</f>
        <v>0</v>
      </c>
      <c r="K577" s="100">
        <v>0.0008</v>
      </c>
      <c r="L577" s="100">
        <f>F577*K577</f>
        <v>0.01776</v>
      </c>
      <c r="M577" s="101" t="s">
        <v>1667</v>
      </c>
      <c r="P577" s="14">
        <f>IF(AG577="5",J577,0)</f>
        <v>0</v>
      </c>
      <c r="R577" s="14">
        <f>IF(AG577="1",H577,0)</f>
        <v>0</v>
      </c>
      <c r="S577" s="14">
        <f>IF(AG577="1",I577,0)</f>
        <v>0</v>
      </c>
      <c r="T577" s="14">
        <f>IF(AG577="7",H577,0)</f>
        <v>0</v>
      </c>
      <c r="U577" s="14">
        <f>IF(AG577="7",I577,0)</f>
        <v>0</v>
      </c>
      <c r="V577" s="14">
        <f>IF(AG577="2",H577,0)</f>
        <v>0</v>
      </c>
      <c r="W577" s="14">
        <f>IF(AG577="2",I577,0)</f>
        <v>0</v>
      </c>
      <c r="X577" s="14">
        <f>IF(AG577="0",J577,0)</f>
        <v>0</v>
      </c>
      <c r="Y577" s="8" t="s">
        <v>406</v>
      </c>
      <c r="Z577" s="5">
        <f>IF(AD577=0,J577,0)</f>
        <v>0</v>
      </c>
      <c r="AA577" s="5">
        <f>IF(AD577=15,J577,0)</f>
        <v>0</v>
      </c>
      <c r="AB577" s="5">
        <f>IF(AD577=21,J577,0)</f>
        <v>0</v>
      </c>
      <c r="AD577" s="14">
        <v>15</v>
      </c>
      <c r="AE577" s="14">
        <f>G577*1</f>
        <v>0</v>
      </c>
      <c r="AF577" s="14">
        <f>G577*(1-1)</f>
        <v>0</v>
      </c>
      <c r="AG577" s="10" t="s">
        <v>13</v>
      </c>
      <c r="AM577" s="14">
        <f>F577*AE577</f>
        <v>0</v>
      </c>
      <c r="AN577" s="14">
        <f>F577*AF577</f>
        <v>0</v>
      </c>
      <c r="AO577" s="15" t="s">
        <v>1706</v>
      </c>
      <c r="AP577" s="15" t="s">
        <v>1736</v>
      </c>
      <c r="AQ577" s="8" t="s">
        <v>1769</v>
      </c>
      <c r="AS577" s="14">
        <f>AM577+AN577</f>
        <v>0</v>
      </c>
      <c r="AT577" s="14">
        <f>G577/(100-AU577)*100</f>
        <v>0</v>
      </c>
      <c r="AU577" s="14">
        <v>0</v>
      </c>
      <c r="AV577" s="14">
        <f>L577</f>
        <v>0.01776</v>
      </c>
    </row>
    <row r="578" spans="1:48" ht="12.75">
      <c r="A578" s="105" t="s">
        <v>218</v>
      </c>
      <c r="B578" s="105" t="s">
        <v>406</v>
      </c>
      <c r="C578" s="105" t="s">
        <v>633</v>
      </c>
      <c r="D578" s="105" t="s">
        <v>1273</v>
      </c>
      <c r="E578" s="105" t="s">
        <v>1640</v>
      </c>
      <c r="F578" s="106">
        <v>24.86</v>
      </c>
      <c r="G578" s="106">
        <v>0</v>
      </c>
      <c r="H578" s="106">
        <f>F578*AE578</f>
        <v>0</v>
      </c>
      <c r="I578" s="106">
        <f>J578-H578</f>
        <v>0</v>
      </c>
      <c r="J578" s="106">
        <f>F578*G578</f>
        <v>0</v>
      </c>
      <c r="K578" s="106">
        <v>0.018</v>
      </c>
      <c r="L578" s="106">
        <f>F578*K578</f>
        <v>0.44747999999999993</v>
      </c>
      <c r="M578" s="107" t="s">
        <v>1667</v>
      </c>
      <c r="P578" s="14">
        <f>IF(AG578="5",J578,0)</f>
        <v>0</v>
      </c>
      <c r="R578" s="14">
        <f>IF(AG578="1",H578,0)</f>
        <v>0</v>
      </c>
      <c r="S578" s="14">
        <f>IF(AG578="1",I578,0)</f>
        <v>0</v>
      </c>
      <c r="T578" s="14">
        <f>IF(AG578="7",H578,0)</f>
        <v>0</v>
      </c>
      <c r="U578" s="14">
        <f>IF(AG578="7",I578,0)</f>
        <v>0</v>
      </c>
      <c r="V578" s="14">
        <f>IF(AG578="2",H578,0)</f>
        <v>0</v>
      </c>
      <c r="W578" s="14">
        <f>IF(AG578="2",I578,0)</f>
        <v>0</v>
      </c>
      <c r="X578" s="14">
        <f>IF(AG578="0",J578,0)</f>
        <v>0</v>
      </c>
      <c r="Y578" s="8" t="s">
        <v>406</v>
      </c>
      <c r="Z578" s="6">
        <f>IF(AD578=0,J578,0)</f>
        <v>0</v>
      </c>
      <c r="AA578" s="6">
        <f>IF(AD578=15,J578,0)</f>
        <v>0</v>
      </c>
      <c r="AB578" s="6">
        <f>IF(AD578=21,J578,0)</f>
        <v>0</v>
      </c>
      <c r="AD578" s="14">
        <v>15</v>
      </c>
      <c r="AE578" s="14">
        <f>G578*1</f>
        <v>0</v>
      </c>
      <c r="AF578" s="14">
        <f>G578*(1-1)</f>
        <v>0</v>
      </c>
      <c r="AG578" s="11" t="s">
        <v>13</v>
      </c>
      <c r="AM578" s="14">
        <f>F578*AE578</f>
        <v>0</v>
      </c>
      <c r="AN578" s="14">
        <f>F578*AF578</f>
        <v>0</v>
      </c>
      <c r="AO578" s="15" t="s">
        <v>1706</v>
      </c>
      <c r="AP578" s="15" t="s">
        <v>1736</v>
      </c>
      <c r="AQ578" s="8" t="s">
        <v>1769</v>
      </c>
      <c r="AS578" s="14">
        <f>AM578+AN578</f>
        <v>0</v>
      </c>
      <c r="AT578" s="14">
        <f>G578/(100-AU578)*100</f>
        <v>0</v>
      </c>
      <c r="AU578" s="14">
        <v>0</v>
      </c>
      <c r="AV578" s="14">
        <f>L578</f>
        <v>0.44747999999999993</v>
      </c>
    </row>
    <row r="579" spans="1:13" ht="12.75">
      <c r="A579" s="102"/>
      <c r="B579" s="102"/>
      <c r="C579" s="102"/>
      <c r="D579" s="103" t="s">
        <v>1274</v>
      </c>
      <c r="E579" s="102"/>
      <c r="F579" s="104">
        <v>23.53</v>
      </c>
      <c r="G579" s="102"/>
      <c r="H579" s="102"/>
      <c r="I579" s="102"/>
      <c r="J579" s="102"/>
      <c r="K579" s="102"/>
      <c r="L579" s="102"/>
      <c r="M579" s="102"/>
    </row>
    <row r="580" spans="1:13" ht="12.75">
      <c r="A580" s="102"/>
      <c r="B580" s="102"/>
      <c r="C580" s="102"/>
      <c r="D580" s="103" t="s">
        <v>1275</v>
      </c>
      <c r="E580" s="102"/>
      <c r="F580" s="104">
        <v>1.33</v>
      </c>
      <c r="G580" s="102"/>
      <c r="H580" s="102"/>
      <c r="I580" s="102"/>
      <c r="J580" s="102"/>
      <c r="K580" s="102"/>
      <c r="L580" s="102"/>
      <c r="M580" s="102"/>
    </row>
    <row r="581" spans="1:48" ht="12.75">
      <c r="A581" s="99" t="s">
        <v>219</v>
      </c>
      <c r="B581" s="99" t="s">
        <v>406</v>
      </c>
      <c r="C581" s="99" t="s">
        <v>634</v>
      </c>
      <c r="D581" s="99" t="s">
        <v>1276</v>
      </c>
      <c r="E581" s="99" t="s">
        <v>1643</v>
      </c>
      <c r="F581" s="100">
        <v>12.11</v>
      </c>
      <c r="G581" s="100">
        <v>0</v>
      </c>
      <c r="H581" s="100">
        <f>F581*AE581</f>
        <v>0</v>
      </c>
      <c r="I581" s="100">
        <f>J581-H581</f>
        <v>0</v>
      </c>
      <c r="J581" s="100">
        <f>F581*G581</f>
        <v>0</v>
      </c>
      <c r="K581" s="100">
        <v>0</v>
      </c>
      <c r="L581" s="100">
        <f>F581*K581</f>
        <v>0</v>
      </c>
      <c r="M581" s="101" t="s">
        <v>1667</v>
      </c>
      <c r="P581" s="14">
        <f>IF(AG581="5",J581,0)</f>
        <v>0</v>
      </c>
      <c r="R581" s="14">
        <f>IF(AG581="1",H581,0)</f>
        <v>0</v>
      </c>
      <c r="S581" s="14">
        <f>IF(AG581="1",I581,0)</f>
        <v>0</v>
      </c>
      <c r="T581" s="14">
        <f>IF(AG581="7",H581,0)</f>
        <v>0</v>
      </c>
      <c r="U581" s="14">
        <f>IF(AG581="7",I581,0)</f>
        <v>0</v>
      </c>
      <c r="V581" s="14">
        <f>IF(AG581="2",H581,0)</f>
        <v>0</v>
      </c>
      <c r="W581" s="14">
        <f>IF(AG581="2",I581,0)</f>
        <v>0</v>
      </c>
      <c r="X581" s="14">
        <f>IF(AG581="0",J581,0)</f>
        <v>0</v>
      </c>
      <c r="Y581" s="8" t="s">
        <v>406</v>
      </c>
      <c r="Z581" s="5">
        <f>IF(AD581=0,J581,0)</f>
        <v>0</v>
      </c>
      <c r="AA581" s="5">
        <f>IF(AD581=15,J581,0)</f>
        <v>0</v>
      </c>
      <c r="AB581" s="5">
        <f>IF(AD581=21,J581,0)</f>
        <v>0</v>
      </c>
      <c r="AD581" s="14">
        <v>15</v>
      </c>
      <c r="AE581" s="14">
        <f>G581*0.0743484224965707</f>
        <v>0</v>
      </c>
      <c r="AF581" s="14">
        <f>G581*(1-0.0743484224965707)</f>
        <v>0</v>
      </c>
      <c r="AG581" s="10" t="s">
        <v>13</v>
      </c>
      <c r="AM581" s="14">
        <f>F581*AE581</f>
        <v>0</v>
      </c>
      <c r="AN581" s="14">
        <f>F581*AF581</f>
        <v>0</v>
      </c>
      <c r="AO581" s="15" t="s">
        <v>1706</v>
      </c>
      <c r="AP581" s="15" t="s">
        <v>1736</v>
      </c>
      <c r="AQ581" s="8" t="s">
        <v>1769</v>
      </c>
      <c r="AS581" s="14">
        <f>AM581+AN581</f>
        <v>0</v>
      </c>
      <c r="AT581" s="14">
        <f>G581/(100-AU581)*100</f>
        <v>0</v>
      </c>
      <c r="AU581" s="14">
        <v>0</v>
      </c>
      <c r="AV581" s="14">
        <f>L581</f>
        <v>0</v>
      </c>
    </row>
    <row r="582" spans="1:48" ht="12.75">
      <c r="A582" s="99" t="s">
        <v>220</v>
      </c>
      <c r="B582" s="99" t="s">
        <v>406</v>
      </c>
      <c r="C582" s="99" t="s">
        <v>635</v>
      </c>
      <c r="D582" s="99" t="s">
        <v>1277</v>
      </c>
      <c r="E582" s="99" t="s">
        <v>1642</v>
      </c>
      <c r="F582" s="100">
        <v>0.53</v>
      </c>
      <c r="G582" s="100">
        <v>0</v>
      </c>
      <c r="H582" s="100">
        <f>F582*AE582</f>
        <v>0</v>
      </c>
      <c r="I582" s="100">
        <f>J582-H582</f>
        <v>0</v>
      </c>
      <c r="J582" s="100">
        <f>F582*G582</f>
        <v>0</v>
      </c>
      <c r="K582" s="100">
        <v>0</v>
      </c>
      <c r="L582" s="100">
        <f>F582*K582</f>
        <v>0</v>
      </c>
      <c r="M582" s="101" t="s">
        <v>1667</v>
      </c>
      <c r="P582" s="14">
        <f>IF(AG582="5",J582,0)</f>
        <v>0</v>
      </c>
      <c r="R582" s="14">
        <f>IF(AG582="1",H582,0)</f>
        <v>0</v>
      </c>
      <c r="S582" s="14">
        <f>IF(AG582="1",I582,0)</f>
        <v>0</v>
      </c>
      <c r="T582" s="14">
        <f>IF(AG582="7",H582,0)</f>
        <v>0</v>
      </c>
      <c r="U582" s="14">
        <f>IF(AG582="7",I582,0)</f>
        <v>0</v>
      </c>
      <c r="V582" s="14">
        <f>IF(AG582="2",H582,0)</f>
        <v>0</v>
      </c>
      <c r="W582" s="14">
        <f>IF(AG582="2",I582,0)</f>
        <v>0</v>
      </c>
      <c r="X582" s="14">
        <f>IF(AG582="0",J582,0)</f>
        <v>0</v>
      </c>
      <c r="Y582" s="8" t="s">
        <v>406</v>
      </c>
      <c r="Z582" s="5">
        <f>IF(AD582=0,J582,0)</f>
        <v>0</v>
      </c>
      <c r="AA582" s="5">
        <f>IF(AD582=15,J582,0)</f>
        <v>0</v>
      </c>
      <c r="AB582" s="5">
        <f>IF(AD582=21,J582,0)</f>
        <v>0</v>
      </c>
      <c r="AD582" s="14">
        <v>15</v>
      </c>
      <c r="AE582" s="14">
        <f>G582*0</f>
        <v>0</v>
      </c>
      <c r="AF582" s="14">
        <f>G582*(1-0)</f>
        <v>0</v>
      </c>
      <c r="AG582" s="10" t="s">
        <v>11</v>
      </c>
      <c r="AM582" s="14">
        <f>F582*AE582</f>
        <v>0</v>
      </c>
      <c r="AN582" s="14">
        <f>F582*AF582</f>
        <v>0</v>
      </c>
      <c r="AO582" s="15" t="s">
        <v>1706</v>
      </c>
      <c r="AP582" s="15" t="s">
        <v>1736</v>
      </c>
      <c r="AQ582" s="8" t="s">
        <v>1769</v>
      </c>
      <c r="AS582" s="14">
        <f>AM582+AN582</f>
        <v>0</v>
      </c>
      <c r="AT582" s="14">
        <f>G582/(100-AU582)*100</f>
        <v>0</v>
      </c>
      <c r="AU582" s="14">
        <v>0</v>
      </c>
      <c r="AV582" s="14">
        <f>L582</f>
        <v>0</v>
      </c>
    </row>
    <row r="583" spans="1:37" ht="12.75">
      <c r="A583" s="93"/>
      <c r="B583" s="94" t="s">
        <v>406</v>
      </c>
      <c r="C583" s="94" t="s">
        <v>636</v>
      </c>
      <c r="D583" s="95" t="s">
        <v>1278</v>
      </c>
      <c r="E583" s="96"/>
      <c r="F583" s="96"/>
      <c r="G583" s="96"/>
      <c r="H583" s="97">
        <f>SUM(H584:H584)</f>
        <v>0</v>
      </c>
      <c r="I583" s="97">
        <f>SUM(I584:I584)</f>
        <v>0</v>
      </c>
      <c r="J583" s="97">
        <f>H583+I583</f>
        <v>0</v>
      </c>
      <c r="K583" s="98"/>
      <c r="L583" s="97">
        <f>SUM(L584:L584)</f>
        <v>0</v>
      </c>
      <c r="M583" s="98"/>
      <c r="Y583" s="8" t="s">
        <v>406</v>
      </c>
      <c r="AI583" s="16">
        <f>SUM(Z584:Z584)</f>
        <v>0</v>
      </c>
      <c r="AJ583" s="16">
        <f>SUM(AA584:AA584)</f>
        <v>0</v>
      </c>
      <c r="AK583" s="16">
        <f>SUM(AB584:AB584)</f>
        <v>0</v>
      </c>
    </row>
    <row r="584" spans="1:48" ht="12.75">
      <c r="A584" s="99" t="s">
        <v>221</v>
      </c>
      <c r="B584" s="99" t="s">
        <v>406</v>
      </c>
      <c r="C584" s="99" t="s">
        <v>637</v>
      </c>
      <c r="D584" s="99" t="s">
        <v>1279</v>
      </c>
      <c r="E584" s="99" t="s">
        <v>1643</v>
      </c>
      <c r="F584" s="100">
        <v>122.26</v>
      </c>
      <c r="G584" s="100">
        <v>0</v>
      </c>
      <c r="H584" s="100">
        <f>F584*AE584</f>
        <v>0</v>
      </c>
      <c r="I584" s="100">
        <f>J584-H584</f>
        <v>0</v>
      </c>
      <c r="J584" s="100">
        <f>F584*G584</f>
        <v>0</v>
      </c>
      <c r="K584" s="100">
        <v>0</v>
      </c>
      <c r="L584" s="100">
        <f>F584*K584</f>
        <v>0</v>
      </c>
      <c r="M584" s="101" t="s">
        <v>1667</v>
      </c>
      <c r="P584" s="14">
        <f>IF(AG584="5",J584,0)</f>
        <v>0</v>
      </c>
      <c r="R584" s="14">
        <f>IF(AG584="1",H584,0)</f>
        <v>0</v>
      </c>
      <c r="S584" s="14">
        <f>IF(AG584="1",I584,0)</f>
        <v>0</v>
      </c>
      <c r="T584" s="14">
        <f>IF(AG584="7",H584,0)</f>
        <v>0</v>
      </c>
      <c r="U584" s="14">
        <f>IF(AG584="7",I584,0)</f>
        <v>0</v>
      </c>
      <c r="V584" s="14">
        <f>IF(AG584="2",H584,0)</f>
        <v>0</v>
      </c>
      <c r="W584" s="14">
        <f>IF(AG584="2",I584,0)</f>
        <v>0</v>
      </c>
      <c r="X584" s="14">
        <f>IF(AG584="0",J584,0)</f>
        <v>0</v>
      </c>
      <c r="Y584" s="8" t="s">
        <v>406</v>
      </c>
      <c r="Z584" s="5">
        <f>IF(AD584=0,J584,0)</f>
        <v>0</v>
      </c>
      <c r="AA584" s="5">
        <f>IF(AD584=15,J584,0)</f>
        <v>0</v>
      </c>
      <c r="AB584" s="5">
        <f>IF(AD584=21,J584,0)</f>
        <v>0</v>
      </c>
      <c r="AD584" s="14">
        <v>15</v>
      </c>
      <c r="AE584" s="14">
        <f>G584*0.46806822689409</f>
        <v>0</v>
      </c>
      <c r="AF584" s="14">
        <f>G584*(1-0.46806822689409)</f>
        <v>0</v>
      </c>
      <c r="AG584" s="10" t="s">
        <v>13</v>
      </c>
      <c r="AM584" s="14">
        <f>F584*AE584</f>
        <v>0</v>
      </c>
      <c r="AN584" s="14">
        <f>F584*AF584</f>
        <v>0</v>
      </c>
      <c r="AO584" s="15" t="s">
        <v>1707</v>
      </c>
      <c r="AP584" s="15" t="s">
        <v>1736</v>
      </c>
      <c r="AQ584" s="8" t="s">
        <v>1769</v>
      </c>
      <c r="AS584" s="14">
        <f>AM584+AN584</f>
        <v>0</v>
      </c>
      <c r="AT584" s="14">
        <f>G584/(100-AU584)*100</f>
        <v>0</v>
      </c>
      <c r="AU584" s="14">
        <v>0</v>
      </c>
      <c r="AV584" s="14">
        <f>L584</f>
        <v>0</v>
      </c>
    </row>
    <row r="585" spans="1:13" ht="12.75">
      <c r="A585" s="102"/>
      <c r="B585" s="102"/>
      <c r="C585" s="102"/>
      <c r="D585" s="103" t="s">
        <v>1280</v>
      </c>
      <c r="E585" s="102"/>
      <c r="F585" s="104">
        <v>3.06</v>
      </c>
      <c r="G585" s="102"/>
      <c r="H585" s="102"/>
      <c r="I585" s="102"/>
      <c r="J585" s="102"/>
      <c r="K585" s="102"/>
      <c r="L585" s="102"/>
      <c r="M585" s="102"/>
    </row>
    <row r="586" spans="1:13" ht="12.75">
      <c r="A586" s="102"/>
      <c r="B586" s="102"/>
      <c r="C586" s="102"/>
      <c r="D586" s="103" t="s">
        <v>1281</v>
      </c>
      <c r="E586" s="102"/>
      <c r="F586" s="104">
        <v>1.45</v>
      </c>
      <c r="G586" s="102"/>
      <c r="H586" s="102"/>
      <c r="I586" s="102"/>
      <c r="J586" s="102"/>
      <c r="K586" s="102"/>
      <c r="L586" s="102"/>
      <c r="M586" s="102"/>
    </row>
    <row r="587" spans="1:13" ht="12.75">
      <c r="A587" s="102"/>
      <c r="B587" s="102"/>
      <c r="C587" s="102"/>
      <c r="D587" s="103" t="s">
        <v>1282</v>
      </c>
      <c r="E587" s="102"/>
      <c r="F587" s="104">
        <v>1.6</v>
      </c>
      <c r="G587" s="102"/>
      <c r="H587" s="102"/>
      <c r="I587" s="102"/>
      <c r="J587" s="102"/>
      <c r="K587" s="102"/>
      <c r="L587" s="102"/>
      <c r="M587" s="102"/>
    </row>
    <row r="588" spans="1:13" ht="12.75">
      <c r="A588" s="102"/>
      <c r="B588" s="102"/>
      <c r="C588" s="102"/>
      <c r="D588" s="103" t="s">
        <v>1283</v>
      </c>
      <c r="E588" s="102"/>
      <c r="F588" s="104">
        <v>1.3</v>
      </c>
      <c r="G588" s="102"/>
      <c r="H588" s="102"/>
      <c r="I588" s="102"/>
      <c r="J588" s="102"/>
      <c r="K588" s="102"/>
      <c r="L588" s="102"/>
      <c r="M588" s="102"/>
    </row>
    <row r="589" spans="1:13" ht="12.75">
      <c r="A589" s="102"/>
      <c r="B589" s="102"/>
      <c r="C589" s="102"/>
      <c r="D589" s="103" t="s">
        <v>1284</v>
      </c>
      <c r="E589" s="102"/>
      <c r="F589" s="104">
        <v>1.4</v>
      </c>
      <c r="G589" s="102"/>
      <c r="H589" s="102"/>
      <c r="I589" s="102"/>
      <c r="J589" s="102"/>
      <c r="K589" s="102"/>
      <c r="L589" s="102"/>
      <c r="M589" s="102"/>
    </row>
    <row r="590" spans="1:13" ht="12.75">
      <c r="A590" s="102"/>
      <c r="B590" s="102"/>
      <c r="C590" s="102"/>
      <c r="D590" s="103" t="s">
        <v>1285</v>
      </c>
      <c r="E590" s="102"/>
      <c r="F590" s="104">
        <v>0.58</v>
      </c>
      <c r="G590" s="102"/>
      <c r="H590" s="102"/>
      <c r="I590" s="102"/>
      <c r="J590" s="102"/>
      <c r="K590" s="102"/>
      <c r="L590" s="102"/>
      <c r="M590" s="102"/>
    </row>
    <row r="591" spans="1:13" ht="12.75">
      <c r="A591" s="102"/>
      <c r="B591" s="102"/>
      <c r="C591" s="102"/>
      <c r="D591" s="103" t="s">
        <v>1286</v>
      </c>
      <c r="E591" s="102"/>
      <c r="F591" s="104">
        <v>9.05</v>
      </c>
      <c r="G591" s="102"/>
      <c r="H591" s="102"/>
      <c r="I591" s="102"/>
      <c r="J591" s="102"/>
      <c r="K591" s="102"/>
      <c r="L591" s="102"/>
      <c r="M591" s="102"/>
    </row>
    <row r="592" spans="1:13" ht="12.75">
      <c r="A592" s="102"/>
      <c r="B592" s="102"/>
      <c r="C592" s="102"/>
      <c r="D592" s="103" t="s">
        <v>1287</v>
      </c>
      <c r="E592" s="102"/>
      <c r="F592" s="104">
        <v>-2.4</v>
      </c>
      <c r="G592" s="102"/>
      <c r="H592" s="102"/>
      <c r="I592" s="102"/>
      <c r="J592" s="102"/>
      <c r="K592" s="102"/>
      <c r="L592" s="102"/>
      <c r="M592" s="102"/>
    </row>
    <row r="593" spans="1:13" ht="12.75">
      <c r="A593" s="102"/>
      <c r="B593" s="102"/>
      <c r="C593" s="102"/>
      <c r="D593" s="103" t="s">
        <v>1288</v>
      </c>
      <c r="E593" s="102"/>
      <c r="F593" s="104">
        <v>-1.4</v>
      </c>
      <c r="G593" s="102"/>
      <c r="H593" s="102"/>
      <c r="I593" s="102"/>
      <c r="J593" s="102"/>
      <c r="K593" s="102"/>
      <c r="L593" s="102"/>
      <c r="M593" s="102"/>
    </row>
    <row r="594" spans="1:13" ht="12.75">
      <c r="A594" s="102"/>
      <c r="B594" s="102"/>
      <c r="C594" s="102"/>
      <c r="D594" s="103" t="s">
        <v>1289</v>
      </c>
      <c r="E594" s="102"/>
      <c r="F594" s="104">
        <v>8.95</v>
      </c>
      <c r="G594" s="102"/>
      <c r="H594" s="102"/>
      <c r="I594" s="102"/>
      <c r="J594" s="102"/>
      <c r="K594" s="102"/>
      <c r="L594" s="102"/>
      <c r="M594" s="102"/>
    </row>
    <row r="595" spans="1:13" ht="12.75">
      <c r="A595" s="102"/>
      <c r="B595" s="102"/>
      <c r="C595" s="102"/>
      <c r="D595" s="103" t="s">
        <v>1058</v>
      </c>
      <c r="E595" s="102"/>
      <c r="F595" s="104">
        <v>-0.7</v>
      </c>
      <c r="G595" s="102"/>
      <c r="H595" s="102"/>
      <c r="I595" s="102"/>
      <c r="J595" s="102"/>
      <c r="K595" s="102"/>
      <c r="L595" s="102"/>
      <c r="M595" s="102"/>
    </row>
    <row r="596" spans="1:13" ht="12.75">
      <c r="A596" s="102"/>
      <c r="B596" s="102"/>
      <c r="C596" s="102"/>
      <c r="D596" s="103" t="s">
        <v>1290</v>
      </c>
      <c r="E596" s="102"/>
      <c r="F596" s="104">
        <v>17.78</v>
      </c>
      <c r="G596" s="102"/>
      <c r="H596" s="102"/>
      <c r="I596" s="102"/>
      <c r="J596" s="102"/>
      <c r="K596" s="102"/>
      <c r="L596" s="102"/>
      <c r="M596" s="102"/>
    </row>
    <row r="597" spans="1:13" ht="12.75">
      <c r="A597" s="102"/>
      <c r="B597" s="102"/>
      <c r="C597" s="102"/>
      <c r="D597" s="103" t="s">
        <v>1058</v>
      </c>
      <c r="E597" s="102"/>
      <c r="F597" s="104">
        <v>-0.7</v>
      </c>
      <c r="G597" s="102"/>
      <c r="H597" s="102"/>
      <c r="I597" s="102"/>
      <c r="J597" s="102"/>
      <c r="K597" s="102"/>
      <c r="L597" s="102"/>
      <c r="M597" s="102"/>
    </row>
    <row r="598" spans="1:13" ht="12.75">
      <c r="A598" s="102"/>
      <c r="B598" s="102"/>
      <c r="C598" s="102"/>
      <c r="D598" s="103" t="s">
        <v>1291</v>
      </c>
      <c r="E598" s="102"/>
      <c r="F598" s="104">
        <v>-0.8</v>
      </c>
      <c r="G598" s="102"/>
      <c r="H598" s="102"/>
      <c r="I598" s="102"/>
      <c r="J598" s="102"/>
      <c r="K598" s="102"/>
      <c r="L598" s="102"/>
      <c r="M598" s="102"/>
    </row>
    <row r="599" spans="1:13" ht="12.75">
      <c r="A599" s="102"/>
      <c r="B599" s="102"/>
      <c r="C599" s="102"/>
      <c r="D599" s="103" t="s">
        <v>1292</v>
      </c>
      <c r="E599" s="102"/>
      <c r="F599" s="104">
        <v>17.78</v>
      </c>
      <c r="G599" s="102"/>
      <c r="H599" s="102"/>
      <c r="I599" s="102"/>
      <c r="J599" s="102"/>
      <c r="K599" s="102"/>
      <c r="L599" s="102"/>
      <c r="M599" s="102"/>
    </row>
    <row r="600" spans="1:13" ht="12.75">
      <c r="A600" s="102"/>
      <c r="B600" s="102"/>
      <c r="C600" s="102"/>
      <c r="D600" s="103" t="s">
        <v>1058</v>
      </c>
      <c r="E600" s="102"/>
      <c r="F600" s="104">
        <v>-0.7</v>
      </c>
      <c r="G600" s="102"/>
      <c r="H600" s="102"/>
      <c r="I600" s="102"/>
      <c r="J600" s="102"/>
      <c r="K600" s="102"/>
      <c r="L600" s="102"/>
      <c r="M600" s="102"/>
    </row>
    <row r="601" spans="1:13" ht="12.75">
      <c r="A601" s="102"/>
      <c r="B601" s="102"/>
      <c r="C601" s="102"/>
      <c r="D601" s="103" t="s">
        <v>1291</v>
      </c>
      <c r="E601" s="102"/>
      <c r="F601" s="104">
        <v>-0.8</v>
      </c>
      <c r="G601" s="102"/>
      <c r="H601" s="102"/>
      <c r="I601" s="102"/>
      <c r="J601" s="102"/>
      <c r="K601" s="102"/>
      <c r="L601" s="102"/>
      <c r="M601" s="102"/>
    </row>
    <row r="602" spans="1:13" ht="12.75">
      <c r="A602" s="102"/>
      <c r="B602" s="102"/>
      <c r="C602" s="102"/>
      <c r="D602" s="103" t="s">
        <v>1293</v>
      </c>
      <c r="E602" s="102"/>
      <c r="F602" s="104">
        <v>14.55</v>
      </c>
      <c r="G602" s="102"/>
      <c r="H602" s="102"/>
      <c r="I602" s="102"/>
      <c r="J602" s="102"/>
      <c r="K602" s="102"/>
      <c r="L602" s="102"/>
      <c r="M602" s="102"/>
    </row>
    <row r="603" spans="1:13" ht="12.75">
      <c r="A603" s="102"/>
      <c r="B603" s="102"/>
      <c r="C603" s="102"/>
      <c r="D603" s="103" t="s">
        <v>1291</v>
      </c>
      <c r="E603" s="102"/>
      <c r="F603" s="104">
        <v>-0.8</v>
      </c>
      <c r="G603" s="102"/>
      <c r="H603" s="102"/>
      <c r="I603" s="102"/>
      <c r="J603" s="102"/>
      <c r="K603" s="102"/>
      <c r="L603" s="102"/>
      <c r="M603" s="102"/>
    </row>
    <row r="604" spans="1:13" ht="12.75">
      <c r="A604" s="102"/>
      <c r="B604" s="102"/>
      <c r="C604" s="102"/>
      <c r="D604" s="103" t="s">
        <v>1294</v>
      </c>
      <c r="E604" s="102"/>
      <c r="F604" s="104">
        <v>6.95</v>
      </c>
      <c r="G604" s="102"/>
      <c r="H604" s="102"/>
      <c r="I604" s="102"/>
      <c r="J604" s="102"/>
      <c r="K604" s="102"/>
      <c r="L604" s="102"/>
      <c r="M604" s="102"/>
    </row>
    <row r="605" spans="1:13" ht="12.75">
      <c r="A605" s="102"/>
      <c r="B605" s="102"/>
      <c r="C605" s="102"/>
      <c r="D605" s="103" t="s">
        <v>1291</v>
      </c>
      <c r="E605" s="102"/>
      <c r="F605" s="104">
        <v>-0.8</v>
      </c>
      <c r="G605" s="102"/>
      <c r="H605" s="102"/>
      <c r="I605" s="102"/>
      <c r="J605" s="102"/>
      <c r="K605" s="102"/>
      <c r="L605" s="102"/>
      <c r="M605" s="102"/>
    </row>
    <row r="606" spans="1:13" ht="12.75">
      <c r="A606" s="102"/>
      <c r="B606" s="102"/>
      <c r="C606" s="102"/>
      <c r="D606" s="103" t="s">
        <v>1295</v>
      </c>
      <c r="E606" s="102"/>
      <c r="F606" s="104">
        <v>-1.3</v>
      </c>
      <c r="G606" s="102"/>
      <c r="H606" s="102"/>
      <c r="I606" s="102"/>
      <c r="J606" s="102"/>
      <c r="K606" s="102"/>
      <c r="L606" s="102"/>
      <c r="M606" s="102"/>
    </row>
    <row r="607" spans="1:13" ht="12.75">
      <c r="A607" s="102"/>
      <c r="B607" s="102"/>
      <c r="C607" s="102"/>
      <c r="D607" s="103" t="s">
        <v>1296</v>
      </c>
      <c r="E607" s="102"/>
      <c r="F607" s="104">
        <v>0.32</v>
      </c>
      <c r="G607" s="102"/>
      <c r="H607" s="102"/>
      <c r="I607" s="102"/>
      <c r="J607" s="102"/>
      <c r="K607" s="102"/>
      <c r="L607" s="102"/>
      <c r="M607" s="102"/>
    </row>
    <row r="608" spans="1:13" ht="12.75">
      <c r="A608" s="102"/>
      <c r="B608" s="102"/>
      <c r="C608" s="102"/>
      <c r="D608" s="103" t="s">
        <v>1297</v>
      </c>
      <c r="E608" s="102"/>
      <c r="F608" s="104">
        <v>27.92</v>
      </c>
      <c r="G608" s="102"/>
      <c r="H608" s="102"/>
      <c r="I608" s="102"/>
      <c r="J608" s="102"/>
      <c r="K608" s="102"/>
      <c r="L608" s="102"/>
      <c r="M608" s="102"/>
    </row>
    <row r="609" spans="1:13" ht="12.75">
      <c r="A609" s="102"/>
      <c r="B609" s="102"/>
      <c r="C609" s="102"/>
      <c r="D609" s="103" t="s">
        <v>1291</v>
      </c>
      <c r="E609" s="102"/>
      <c r="F609" s="104">
        <v>-0.8</v>
      </c>
      <c r="G609" s="102"/>
      <c r="H609" s="102"/>
      <c r="I609" s="102"/>
      <c r="J609" s="102"/>
      <c r="K609" s="102"/>
      <c r="L609" s="102"/>
      <c r="M609" s="102"/>
    </row>
    <row r="610" spans="1:13" ht="12.75">
      <c r="A610" s="102"/>
      <c r="B610" s="102"/>
      <c r="C610" s="102"/>
      <c r="D610" s="103" t="s">
        <v>1058</v>
      </c>
      <c r="E610" s="102"/>
      <c r="F610" s="104">
        <v>-0.7</v>
      </c>
      <c r="G610" s="102"/>
      <c r="H610" s="102"/>
      <c r="I610" s="102"/>
      <c r="J610" s="102"/>
      <c r="K610" s="102"/>
      <c r="L610" s="102"/>
      <c r="M610" s="102"/>
    </row>
    <row r="611" spans="1:13" ht="12.75">
      <c r="A611" s="102"/>
      <c r="B611" s="102"/>
      <c r="C611" s="102"/>
      <c r="D611" s="103" t="s">
        <v>1298</v>
      </c>
      <c r="E611" s="102"/>
      <c r="F611" s="104">
        <v>-4.8</v>
      </c>
      <c r="G611" s="102"/>
      <c r="H611" s="102"/>
      <c r="I611" s="102"/>
      <c r="J611" s="102"/>
      <c r="K611" s="102"/>
      <c r="L611" s="102"/>
      <c r="M611" s="102"/>
    </row>
    <row r="612" spans="1:13" ht="12.75">
      <c r="A612" s="102"/>
      <c r="B612" s="102"/>
      <c r="C612" s="102"/>
      <c r="D612" s="103" t="s">
        <v>1299</v>
      </c>
      <c r="E612" s="102"/>
      <c r="F612" s="104">
        <v>0.64</v>
      </c>
      <c r="G612" s="102"/>
      <c r="H612" s="102"/>
      <c r="I612" s="102"/>
      <c r="J612" s="102"/>
      <c r="K612" s="102"/>
      <c r="L612" s="102"/>
      <c r="M612" s="102"/>
    </row>
    <row r="613" spans="1:13" ht="12.75">
      <c r="A613" s="102"/>
      <c r="B613" s="102"/>
      <c r="C613" s="102"/>
      <c r="D613" s="103" t="s">
        <v>1300</v>
      </c>
      <c r="E613" s="102"/>
      <c r="F613" s="104">
        <v>0.8</v>
      </c>
      <c r="G613" s="102"/>
      <c r="H613" s="102"/>
      <c r="I613" s="102"/>
      <c r="J613" s="102"/>
      <c r="K613" s="102"/>
      <c r="L613" s="102"/>
      <c r="M613" s="102"/>
    </row>
    <row r="614" spans="1:13" ht="12.75">
      <c r="A614" s="102"/>
      <c r="B614" s="102"/>
      <c r="C614" s="102"/>
      <c r="D614" s="103" t="s">
        <v>1301</v>
      </c>
      <c r="E614" s="102"/>
      <c r="F614" s="104">
        <v>14.18</v>
      </c>
      <c r="G614" s="102"/>
      <c r="H614" s="102"/>
      <c r="I614" s="102"/>
      <c r="J614" s="102"/>
      <c r="K614" s="102"/>
      <c r="L614" s="102"/>
      <c r="M614" s="102"/>
    </row>
    <row r="615" spans="1:13" ht="12.75">
      <c r="A615" s="102"/>
      <c r="B615" s="102"/>
      <c r="C615" s="102"/>
      <c r="D615" s="103" t="s">
        <v>1291</v>
      </c>
      <c r="E615" s="102"/>
      <c r="F615" s="104">
        <v>-0.8</v>
      </c>
      <c r="G615" s="102"/>
      <c r="H615" s="102"/>
      <c r="I615" s="102"/>
      <c r="J615" s="102"/>
      <c r="K615" s="102"/>
      <c r="L615" s="102"/>
      <c r="M615" s="102"/>
    </row>
    <row r="616" spans="1:13" ht="12.75">
      <c r="A616" s="102"/>
      <c r="B616" s="102"/>
      <c r="C616" s="102"/>
      <c r="D616" s="103" t="s">
        <v>1302</v>
      </c>
      <c r="E616" s="102"/>
      <c r="F616" s="104">
        <v>14.55</v>
      </c>
      <c r="G616" s="102"/>
      <c r="H616" s="102"/>
      <c r="I616" s="102"/>
      <c r="J616" s="102"/>
      <c r="K616" s="102"/>
      <c r="L616" s="102"/>
      <c r="M616" s="102"/>
    </row>
    <row r="617" spans="1:13" ht="12.75">
      <c r="A617" s="102"/>
      <c r="B617" s="102"/>
      <c r="C617" s="102"/>
      <c r="D617" s="103" t="s">
        <v>1287</v>
      </c>
      <c r="E617" s="102"/>
      <c r="F617" s="104">
        <v>-2.4</v>
      </c>
      <c r="G617" s="102"/>
      <c r="H617" s="102"/>
      <c r="I617" s="102"/>
      <c r="J617" s="102"/>
      <c r="K617" s="102"/>
      <c r="L617" s="102"/>
      <c r="M617" s="102"/>
    </row>
    <row r="618" spans="1:13" ht="12.75">
      <c r="A618" s="102"/>
      <c r="B618" s="102"/>
      <c r="C618" s="102"/>
      <c r="D618" s="103" t="s">
        <v>1058</v>
      </c>
      <c r="E618" s="102"/>
      <c r="F618" s="104">
        <v>-0.7</v>
      </c>
      <c r="G618" s="102"/>
      <c r="H618" s="102"/>
      <c r="I618" s="102"/>
      <c r="J618" s="102"/>
      <c r="K618" s="102"/>
      <c r="L618" s="102"/>
      <c r="M618" s="102"/>
    </row>
    <row r="619" spans="1:37" ht="12.75">
      <c r="A619" s="93"/>
      <c r="B619" s="94" t="s">
        <v>406</v>
      </c>
      <c r="C619" s="94" t="s">
        <v>638</v>
      </c>
      <c r="D619" s="95" t="s">
        <v>1303</v>
      </c>
      <c r="E619" s="96"/>
      <c r="F619" s="96"/>
      <c r="G619" s="96"/>
      <c r="H619" s="97">
        <f>SUM(H620:H620)</f>
        <v>0</v>
      </c>
      <c r="I619" s="97">
        <f>SUM(I620:I620)</f>
        <v>0</v>
      </c>
      <c r="J619" s="97">
        <f>H619+I619</f>
        <v>0</v>
      </c>
      <c r="K619" s="98"/>
      <c r="L619" s="97">
        <f>SUM(L620:L620)</f>
        <v>0.5104</v>
      </c>
      <c r="M619" s="98"/>
      <c r="Y619" s="8" t="s">
        <v>406</v>
      </c>
      <c r="AI619" s="16">
        <f>SUM(Z620:Z620)</f>
        <v>0</v>
      </c>
      <c r="AJ619" s="16">
        <f>SUM(AA620:AA620)</f>
        <v>0</v>
      </c>
      <c r="AK619" s="16">
        <f>SUM(AB620:AB620)</f>
        <v>0</v>
      </c>
    </row>
    <row r="620" spans="1:48" ht="12.75">
      <c r="A620" s="99" t="s">
        <v>222</v>
      </c>
      <c r="B620" s="99" t="s">
        <v>406</v>
      </c>
      <c r="C620" s="99" t="s">
        <v>639</v>
      </c>
      <c r="D620" s="99" t="s">
        <v>1304</v>
      </c>
      <c r="E620" s="99" t="s">
        <v>1640</v>
      </c>
      <c r="F620" s="100">
        <v>127.6</v>
      </c>
      <c r="G620" s="100">
        <v>0</v>
      </c>
      <c r="H620" s="100">
        <f>F620*AE620</f>
        <v>0</v>
      </c>
      <c r="I620" s="100">
        <f>J620-H620</f>
        <v>0</v>
      </c>
      <c r="J620" s="100">
        <f>F620*G620</f>
        <v>0</v>
      </c>
      <c r="K620" s="100">
        <v>0.004</v>
      </c>
      <c r="L620" s="100">
        <f>F620*K620</f>
        <v>0.5104</v>
      </c>
      <c r="M620" s="101" t="s">
        <v>1667</v>
      </c>
      <c r="P620" s="14">
        <f>IF(AG620="5",J620,0)</f>
        <v>0</v>
      </c>
      <c r="R620" s="14">
        <f>IF(AG620="1",H620,0)</f>
        <v>0</v>
      </c>
      <c r="S620" s="14">
        <f>IF(AG620="1",I620,0)</f>
        <v>0</v>
      </c>
      <c r="T620" s="14">
        <f>IF(AG620="7",H620,0)</f>
        <v>0</v>
      </c>
      <c r="U620" s="14">
        <f>IF(AG620="7",I620,0)</f>
        <v>0</v>
      </c>
      <c r="V620" s="14">
        <f>IF(AG620="2",H620,0)</f>
        <v>0</v>
      </c>
      <c r="W620" s="14">
        <f>IF(AG620="2",I620,0)</f>
        <v>0</v>
      </c>
      <c r="X620" s="14">
        <f>IF(AG620="0",J620,0)</f>
        <v>0</v>
      </c>
      <c r="Y620" s="8" t="s">
        <v>406</v>
      </c>
      <c r="Z620" s="5">
        <f>IF(AD620=0,J620,0)</f>
        <v>0</v>
      </c>
      <c r="AA620" s="5">
        <f>IF(AD620=15,J620,0)</f>
        <v>0</v>
      </c>
      <c r="AB620" s="5">
        <f>IF(AD620=21,J620,0)</f>
        <v>0</v>
      </c>
      <c r="AD620" s="14">
        <v>15</v>
      </c>
      <c r="AE620" s="14">
        <f>G620*0.8203125</f>
        <v>0</v>
      </c>
      <c r="AF620" s="14">
        <f>G620*(1-0.8203125)</f>
        <v>0</v>
      </c>
      <c r="AG620" s="10" t="s">
        <v>13</v>
      </c>
      <c r="AM620" s="14">
        <f>F620*AE620</f>
        <v>0</v>
      </c>
      <c r="AN620" s="14">
        <f>F620*AF620</f>
        <v>0</v>
      </c>
      <c r="AO620" s="15" t="s">
        <v>1708</v>
      </c>
      <c r="AP620" s="15" t="s">
        <v>1736</v>
      </c>
      <c r="AQ620" s="8" t="s">
        <v>1769</v>
      </c>
      <c r="AS620" s="14">
        <f>AM620+AN620</f>
        <v>0</v>
      </c>
      <c r="AT620" s="14">
        <f>G620/(100-AU620)*100</f>
        <v>0</v>
      </c>
      <c r="AU620" s="14">
        <v>0</v>
      </c>
      <c r="AV620" s="14">
        <f>L620</f>
        <v>0.5104</v>
      </c>
    </row>
    <row r="621" spans="1:13" ht="12.75">
      <c r="A621" s="102"/>
      <c r="B621" s="102"/>
      <c r="C621" s="102"/>
      <c r="D621" s="103" t="s">
        <v>1305</v>
      </c>
      <c r="E621" s="102"/>
      <c r="F621" s="104">
        <v>3.2</v>
      </c>
      <c r="G621" s="102"/>
      <c r="H621" s="102"/>
      <c r="I621" s="102"/>
      <c r="J621" s="102"/>
      <c r="K621" s="102"/>
      <c r="L621" s="102"/>
      <c r="M621" s="102"/>
    </row>
    <row r="622" spans="1:13" ht="12.75">
      <c r="A622" s="102"/>
      <c r="B622" s="102"/>
      <c r="C622" s="102"/>
      <c r="D622" s="103" t="s">
        <v>1259</v>
      </c>
      <c r="E622" s="102"/>
      <c r="F622" s="104">
        <v>2.5</v>
      </c>
      <c r="G622" s="102"/>
      <c r="H622" s="102"/>
      <c r="I622" s="102"/>
      <c r="J622" s="102"/>
      <c r="K622" s="102"/>
      <c r="L622" s="102"/>
      <c r="M622" s="102"/>
    </row>
    <row r="623" spans="1:13" ht="12.75">
      <c r="A623" s="102"/>
      <c r="B623" s="102"/>
      <c r="C623" s="102"/>
      <c r="D623" s="103" t="s">
        <v>1021</v>
      </c>
      <c r="E623" s="102"/>
      <c r="F623" s="104">
        <v>39</v>
      </c>
      <c r="G623" s="102"/>
      <c r="H623" s="102"/>
      <c r="I623" s="102"/>
      <c r="J623" s="102"/>
      <c r="K623" s="102"/>
      <c r="L623" s="102"/>
      <c r="M623" s="102"/>
    </row>
    <row r="624" spans="1:13" ht="12.75">
      <c r="A624" s="102"/>
      <c r="B624" s="102"/>
      <c r="C624" s="102"/>
      <c r="D624" s="103" t="s">
        <v>1306</v>
      </c>
      <c r="E624" s="102"/>
      <c r="F624" s="104">
        <v>12.1</v>
      </c>
      <c r="G624" s="102"/>
      <c r="H624" s="102"/>
      <c r="I624" s="102"/>
      <c r="J624" s="102"/>
      <c r="K624" s="102"/>
      <c r="L624" s="102"/>
      <c r="M624" s="102"/>
    </row>
    <row r="625" spans="1:13" ht="12.75">
      <c r="A625" s="102"/>
      <c r="B625" s="102"/>
      <c r="C625" s="102"/>
      <c r="D625" s="103" t="s">
        <v>1022</v>
      </c>
      <c r="E625" s="102"/>
      <c r="F625" s="104">
        <v>8.8</v>
      </c>
      <c r="G625" s="102"/>
      <c r="H625" s="102"/>
      <c r="I625" s="102"/>
      <c r="J625" s="102"/>
      <c r="K625" s="102"/>
      <c r="L625" s="102"/>
      <c r="M625" s="102"/>
    </row>
    <row r="626" spans="1:13" ht="12.75">
      <c r="A626" s="102"/>
      <c r="B626" s="102"/>
      <c r="C626" s="102"/>
      <c r="D626" s="103" t="s">
        <v>1307</v>
      </c>
      <c r="E626" s="102"/>
      <c r="F626" s="104">
        <v>5.6</v>
      </c>
      <c r="G626" s="102"/>
      <c r="H626" s="102"/>
      <c r="I626" s="102"/>
      <c r="J626" s="102"/>
      <c r="K626" s="102"/>
      <c r="L626" s="102"/>
      <c r="M626" s="102"/>
    </row>
    <row r="627" spans="1:13" ht="12.75">
      <c r="A627" s="102"/>
      <c r="B627" s="102"/>
      <c r="C627" s="102"/>
      <c r="D627" s="103" t="s">
        <v>1308</v>
      </c>
      <c r="E627" s="102"/>
      <c r="F627" s="104">
        <v>4.7</v>
      </c>
      <c r="G627" s="102"/>
      <c r="H627" s="102"/>
      <c r="I627" s="102"/>
      <c r="J627" s="102"/>
      <c r="K627" s="102"/>
      <c r="L627" s="102"/>
      <c r="M627" s="102"/>
    </row>
    <row r="628" spans="1:13" ht="12.75">
      <c r="A628" s="102"/>
      <c r="B628" s="102"/>
      <c r="C628" s="102"/>
      <c r="D628" s="103" t="s">
        <v>1309</v>
      </c>
      <c r="E628" s="102"/>
      <c r="F628" s="104">
        <v>19.6</v>
      </c>
      <c r="G628" s="102"/>
      <c r="H628" s="102"/>
      <c r="I628" s="102"/>
      <c r="J628" s="102"/>
      <c r="K628" s="102"/>
      <c r="L628" s="102"/>
      <c r="M628" s="102"/>
    </row>
    <row r="629" spans="1:13" ht="12.75">
      <c r="A629" s="102"/>
      <c r="B629" s="102"/>
      <c r="C629" s="102"/>
      <c r="D629" s="103" t="s">
        <v>1310</v>
      </c>
      <c r="E629" s="102"/>
      <c r="F629" s="104">
        <v>19.6</v>
      </c>
      <c r="G629" s="102"/>
      <c r="H629" s="102"/>
      <c r="I629" s="102"/>
      <c r="J629" s="102"/>
      <c r="K629" s="102"/>
      <c r="L629" s="102"/>
      <c r="M629" s="102"/>
    </row>
    <row r="630" spans="1:13" ht="12.75">
      <c r="A630" s="102"/>
      <c r="B630" s="102"/>
      <c r="C630" s="102"/>
      <c r="D630" s="103" t="s">
        <v>1311</v>
      </c>
      <c r="E630" s="102"/>
      <c r="F630" s="104">
        <v>12.5</v>
      </c>
      <c r="G630" s="102"/>
      <c r="H630" s="102"/>
      <c r="I630" s="102"/>
      <c r="J630" s="102"/>
      <c r="K630" s="102"/>
      <c r="L630" s="102"/>
      <c r="M630" s="102"/>
    </row>
    <row r="631" spans="1:37" ht="12.75">
      <c r="A631" s="93"/>
      <c r="B631" s="94" t="s">
        <v>406</v>
      </c>
      <c r="C631" s="94" t="s">
        <v>640</v>
      </c>
      <c r="D631" s="95" t="s">
        <v>1312</v>
      </c>
      <c r="E631" s="96"/>
      <c r="F631" s="96"/>
      <c r="G631" s="96"/>
      <c r="H631" s="97">
        <f>SUM(H632:H647)</f>
        <v>0</v>
      </c>
      <c r="I631" s="97">
        <f>SUM(I632:I647)</f>
        <v>0</v>
      </c>
      <c r="J631" s="97">
        <f>H631+I631</f>
        <v>0</v>
      </c>
      <c r="K631" s="98"/>
      <c r="L631" s="97">
        <f>SUM(L632:L647)</f>
        <v>0.6687266000000001</v>
      </c>
      <c r="M631" s="98"/>
      <c r="Y631" s="8" t="s">
        <v>406</v>
      </c>
      <c r="AI631" s="16">
        <f>SUM(Z632:Z647)</f>
        <v>0</v>
      </c>
      <c r="AJ631" s="16">
        <f>SUM(AA632:AA647)</f>
        <v>0</v>
      </c>
      <c r="AK631" s="16">
        <f>SUM(AB632:AB647)</f>
        <v>0</v>
      </c>
    </row>
    <row r="632" spans="1:48" ht="12.75">
      <c r="A632" s="99" t="s">
        <v>223</v>
      </c>
      <c r="B632" s="99" t="s">
        <v>406</v>
      </c>
      <c r="C632" s="99" t="s">
        <v>641</v>
      </c>
      <c r="D632" s="99" t="s">
        <v>1313</v>
      </c>
      <c r="E632" s="99" t="s">
        <v>1640</v>
      </c>
      <c r="F632" s="100">
        <v>38.13</v>
      </c>
      <c r="G632" s="100">
        <v>0</v>
      </c>
      <c r="H632" s="100">
        <f>F632*AE632</f>
        <v>0</v>
      </c>
      <c r="I632" s="100">
        <f>J632-H632</f>
        <v>0</v>
      </c>
      <c r="J632" s="100">
        <f>F632*G632</f>
        <v>0</v>
      </c>
      <c r="K632" s="100">
        <v>0.00016</v>
      </c>
      <c r="L632" s="100">
        <f>F632*K632</f>
        <v>0.006100800000000001</v>
      </c>
      <c r="M632" s="101" t="s">
        <v>1667</v>
      </c>
      <c r="P632" s="14">
        <f>IF(AG632="5",J632,0)</f>
        <v>0</v>
      </c>
      <c r="R632" s="14">
        <f>IF(AG632="1",H632,0)</f>
        <v>0</v>
      </c>
      <c r="S632" s="14">
        <f>IF(AG632="1",I632,0)</f>
        <v>0</v>
      </c>
      <c r="T632" s="14">
        <f>IF(AG632="7",H632,0)</f>
        <v>0</v>
      </c>
      <c r="U632" s="14">
        <f>IF(AG632="7",I632,0)</f>
        <v>0</v>
      </c>
      <c r="V632" s="14">
        <f>IF(AG632="2",H632,0)</f>
        <v>0</v>
      </c>
      <c r="W632" s="14">
        <f>IF(AG632="2",I632,0)</f>
        <v>0</v>
      </c>
      <c r="X632" s="14">
        <f>IF(AG632="0",J632,0)</f>
        <v>0</v>
      </c>
      <c r="Y632" s="8" t="s">
        <v>406</v>
      </c>
      <c r="Z632" s="5">
        <f>IF(AD632=0,J632,0)</f>
        <v>0</v>
      </c>
      <c r="AA632" s="5">
        <f>IF(AD632=15,J632,0)</f>
        <v>0</v>
      </c>
      <c r="AB632" s="5">
        <f>IF(AD632=21,J632,0)</f>
        <v>0</v>
      </c>
      <c r="AD632" s="14">
        <v>15</v>
      </c>
      <c r="AE632" s="14">
        <f>G632*0.462388059701493</f>
        <v>0</v>
      </c>
      <c r="AF632" s="14">
        <f>G632*(1-0.462388059701493)</f>
        <v>0</v>
      </c>
      <c r="AG632" s="10" t="s">
        <v>13</v>
      </c>
      <c r="AM632" s="14">
        <f>F632*AE632</f>
        <v>0</v>
      </c>
      <c r="AN632" s="14">
        <f>F632*AF632</f>
        <v>0</v>
      </c>
      <c r="AO632" s="15" t="s">
        <v>1709</v>
      </c>
      <c r="AP632" s="15" t="s">
        <v>1737</v>
      </c>
      <c r="AQ632" s="8" t="s">
        <v>1769</v>
      </c>
      <c r="AS632" s="14">
        <f>AM632+AN632</f>
        <v>0</v>
      </c>
      <c r="AT632" s="14">
        <f>G632/(100-AU632)*100</f>
        <v>0</v>
      </c>
      <c r="AU632" s="14">
        <v>0</v>
      </c>
      <c r="AV632" s="14">
        <f>L632</f>
        <v>0.006100800000000001</v>
      </c>
    </row>
    <row r="633" spans="1:13" ht="12.75">
      <c r="A633" s="102"/>
      <c r="B633" s="102"/>
      <c r="C633" s="102"/>
      <c r="D633" s="103" t="s">
        <v>1314</v>
      </c>
      <c r="E633" s="102"/>
      <c r="F633" s="104">
        <v>36.79</v>
      </c>
      <c r="G633" s="102"/>
      <c r="H633" s="102"/>
      <c r="I633" s="102"/>
      <c r="J633" s="102"/>
      <c r="K633" s="102"/>
      <c r="L633" s="102"/>
      <c r="M633" s="102"/>
    </row>
    <row r="634" spans="1:13" ht="12.75">
      <c r="A634" s="102"/>
      <c r="B634" s="102"/>
      <c r="C634" s="102"/>
      <c r="D634" s="103" t="s">
        <v>1315</v>
      </c>
      <c r="E634" s="102"/>
      <c r="F634" s="104">
        <v>4</v>
      </c>
      <c r="G634" s="102"/>
      <c r="H634" s="102"/>
      <c r="I634" s="102"/>
      <c r="J634" s="102"/>
      <c r="K634" s="102"/>
      <c r="L634" s="102"/>
      <c r="M634" s="102"/>
    </row>
    <row r="635" spans="1:13" ht="12.75">
      <c r="A635" s="102"/>
      <c r="B635" s="102"/>
      <c r="C635" s="102"/>
      <c r="D635" s="103" t="s">
        <v>868</v>
      </c>
      <c r="E635" s="102"/>
      <c r="F635" s="104">
        <v>-1.72</v>
      </c>
      <c r="G635" s="102"/>
      <c r="H635" s="102"/>
      <c r="I635" s="102"/>
      <c r="J635" s="102"/>
      <c r="K635" s="102"/>
      <c r="L635" s="102"/>
      <c r="M635" s="102"/>
    </row>
    <row r="636" spans="1:13" ht="12.75">
      <c r="A636" s="102"/>
      <c r="B636" s="102"/>
      <c r="C636" s="102"/>
      <c r="D636" s="103" t="s">
        <v>852</v>
      </c>
      <c r="E636" s="102"/>
      <c r="F636" s="104">
        <v>-1.5</v>
      </c>
      <c r="G636" s="102"/>
      <c r="H636" s="102"/>
      <c r="I636" s="102"/>
      <c r="J636" s="102"/>
      <c r="K636" s="102"/>
      <c r="L636" s="102"/>
      <c r="M636" s="102"/>
    </row>
    <row r="637" spans="1:13" ht="12.75">
      <c r="A637" s="102"/>
      <c r="B637" s="102"/>
      <c r="C637" s="102"/>
      <c r="D637" s="103" t="s">
        <v>964</v>
      </c>
      <c r="E637" s="102"/>
      <c r="F637" s="104">
        <v>0.56</v>
      </c>
      <c r="G637" s="102"/>
      <c r="H637" s="102"/>
      <c r="I637" s="102"/>
      <c r="J637" s="102"/>
      <c r="K637" s="102"/>
      <c r="L637" s="102"/>
      <c r="M637" s="102"/>
    </row>
    <row r="638" spans="1:48" ht="12.75">
      <c r="A638" s="99" t="s">
        <v>224</v>
      </c>
      <c r="B638" s="99" t="s">
        <v>406</v>
      </c>
      <c r="C638" s="99" t="s">
        <v>642</v>
      </c>
      <c r="D638" s="99" t="s">
        <v>1316</v>
      </c>
      <c r="E638" s="99" t="s">
        <v>1640</v>
      </c>
      <c r="F638" s="100">
        <v>38.13</v>
      </c>
      <c r="G638" s="100">
        <v>0</v>
      </c>
      <c r="H638" s="100">
        <f>F638*AE638</f>
        <v>0</v>
      </c>
      <c r="I638" s="100">
        <f>J638-H638</f>
        <v>0</v>
      </c>
      <c r="J638" s="100">
        <f>F638*G638</f>
        <v>0</v>
      </c>
      <c r="K638" s="100">
        <v>0.00309</v>
      </c>
      <c r="L638" s="100">
        <f>F638*K638</f>
        <v>0.1178217</v>
      </c>
      <c r="M638" s="101" t="s">
        <v>1667</v>
      </c>
      <c r="P638" s="14">
        <f>IF(AG638="5",J638,0)</f>
        <v>0</v>
      </c>
      <c r="R638" s="14">
        <f>IF(AG638="1",H638,0)</f>
        <v>0</v>
      </c>
      <c r="S638" s="14">
        <f>IF(AG638="1",I638,0)</f>
        <v>0</v>
      </c>
      <c r="T638" s="14">
        <f>IF(AG638="7",H638,0)</f>
        <v>0</v>
      </c>
      <c r="U638" s="14">
        <f>IF(AG638="7",I638,0)</f>
        <v>0</v>
      </c>
      <c r="V638" s="14">
        <f>IF(AG638="2",H638,0)</f>
        <v>0</v>
      </c>
      <c r="W638" s="14">
        <f>IF(AG638="2",I638,0)</f>
        <v>0</v>
      </c>
      <c r="X638" s="14">
        <f>IF(AG638="0",J638,0)</f>
        <v>0</v>
      </c>
      <c r="Y638" s="8" t="s">
        <v>406</v>
      </c>
      <c r="Z638" s="5">
        <f>IF(AD638=0,J638,0)</f>
        <v>0</v>
      </c>
      <c r="AA638" s="5">
        <f>IF(AD638=15,J638,0)</f>
        <v>0</v>
      </c>
      <c r="AB638" s="5">
        <f>IF(AD638=21,J638,0)</f>
        <v>0</v>
      </c>
      <c r="AD638" s="14">
        <v>15</v>
      </c>
      <c r="AE638" s="14">
        <f>G638*0.0954275232601826</f>
        <v>0</v>
      </c>
      <c r="AF638" s="14">
        <f>G638*(1-0.0954275232601826)</f>
        <v>0</v>
      </c>
      <c r="AG638" s="10" t="s">
        <v>13</v>
      </c>
      <c r="AM638" s="14">
        <f>F638*AE638</f>
        <v>0</v>
      </c>
      <c r="AN638" s="14">
        <f>F638*AF638</f>
        <v>0</v>
      </c>
      <c r="AO638" s="15" t="s">
        <v>1709</v>
      </c>
      <c r="AP638" s="15" t="s">
        <v>1737</v>
      </c>
      <c r="AQ638" s="8" t="s">
        <v>1769</v>
      </c>
      <c r="AS638" s="14">
        <f>AM638+AN638</f>
        <v>0</v>
      </c>
      <c r="AT638" s="14">
        <f>G638/(100-AU638)*100</f>
        <v>0</v>
      </c>
      <c r="AU638" s="14">
        <v>0</v>
      </c>
      <c r="AV638" s="14">
        <f>L638</f>
        <v>0.1178217</v>
      </c>
    </row>
    <row r="639" spans="1:48" ht="12.75">
      <c r="A639" s="99" t="s">
        <v>225</v>
      </c>
      <c r="B639" s="99" t="s">
        <v>406</v>
      </c>
      <c r="C639" s="99" t="s">
        <v>643</v>
      </c>
      <c r="D639" s="99" t="s">
        <v>1317</v>
      </c>
      <c r="E639" s="99" t="s">
        <v>1640</v>
      </c>
      <c r="F639" s="100">
        <v>38.13</v>
      </c>
      <c r="G639" s="100">
        <v>0</v>
      </c>
      <c r="H639" s="100">
        <f>F639*AE639</f>
        <v>0</v>
      </c>
      <c r="I639" s="100">
        <f>J639-H639</f>
        <v>0</v>
      </c>
      <c r="J639" s="100">
        <f>F639*G639</f>
        <v>0</v>
      </c>
      <c r="K639" s="100">
        <v>0.00065</v>
      </c>
      <c r="L639" s="100">
        <f>F639*K639</f>
        <v>0.0247845</v>
      </c>
      <c r="M639" s="101" t="s">
        <v>1667</v>
      </c>
      <c r="P639" s="14">
        <f>IF(AG639="5",J639,0)</f>
        <v>0</v>
      </c>
      <c r="R639" s="14">
        <f>IF(AG639="1",H639,0)</f>
        <v>0</v>
      </c>
      <c r="S639" s="14">
        <f>IF(AG639="1",I639,0)</f>
        <v>0</v>
      </c>
      <c r="T639" s="14">
        <f>IF(AG639="7",H639,0)</f>
        <v>0</v>
      </c>
      <c r="U639" s="14">
        <f>IF(AG639="7",I639,0)</f>
        <v>0</v>
      </c>
      <c r="V639" s="14">
        <f>IF(AG639="2",H639,0)</f>
        <v>0</v>
      </c>
      <c r="W639" s="14">
        <f>IF(AG639="2",I639,0)</f>
        <v>0</v>
      </c>
      <c r="X639" s="14">
        <f>IF(AG639="0",J639,0)</f>
        <v>0</v>
      </c>
      <c r="Y639" s="8" t="s">
        <v>406</v>
      </c>
      <c r="Z639" s="5">
        <f>IF(AD639=0,J639,0)</f>
        <v>0</v>
      </c>
      <c r="AA639" s="5">
        <f>IF(AD639=15,J639,0)</f>
        <v>0</v>
      </c>
      <c r="AB639" s="5">
        <f>IF(AD639=21,J639,0)</f>
        <v>0</v>
      </c>
      <c r="AD639" s="14">
        <v>15</v>
      </c>
      <c r="AE639" s="14">
        <f>G639*1</f>
        <v>0</v>
      </c>
      <c r="AF639" s="14">
        <f>G639*(1-1)</f>
        <v>0</v>
      </c>
      <c r="AG639" s="10" t="s">
        <v>13</v>
      </c>
      <c r="AM639" s="14">
        <f>F639*AE639</f>
        <v>0</v>
      </c>
      <c r="AN639" s="14">
        <f>F639*AF639</f>
        <v>0</v>
      </c>
      <c r="AO639" s="15" t="s">
        <v>1709</v>
      </c>
      <c r="AP639" s="15" t="s">
        <v>1737</v>
      </c>
      <c r="AQ639" s="8" t="s">
        <v>1769</v>
      </c>
      <c r="AS639" s="14">
        <f>AM639+AN639</f>
        <v>0</v>
      </c>
      <c r="AT639" s="14">
        <f>G639/(100-AU639)*100</f>
        <v>0</v>
      </c>
      <c r="AU639" s="14">
        <v>0</v>
      </c>
      <c r="AV639" s="14">
        <f>L639</f>
        <v>0.0247845</v>
      </c>
    </row>
    <row r="640" spans="1:48" ht="12.75">
      <c r="A640" s="99" t="s">
        <v>226</v>
      </c>
      <c r="B640" s="99" t="s">
        <v>406</v>
      </c>
      <c r="C640" s="99" t="s">
        <v>644</v>
      </c>
      <c r="D640" s="99" t="s">
        <v>1318</v>
      </c>
      <c r="E640" s="99" t="s">
        <v>1643</v>
      </c>
      <c r="F640" s="100">
        <v>14.02</v>
      </c>
      <c r="G640" s="100">
        <v>0</v>
      </c>
      <c r="H640" s="100">
        <f>F640*AE640</f>
        <v>0</v>
      </c>
      <c r="I640" s="100">
        <f>J640-H640</f>
        <v>0</v>
      </c>
      <c r="J640" s="100">
        <f>F640*G640</f>
        <v>0</v>
      </c>
      <c r="K640" s="100">
        <v>0.00042</v>
      </c>
      <c r="L640" s="100">
        <f>F640*K640</f>
        <v>0.0058884</v>
      </c>
      <c r="M640" s="101" t="s">
        <v>1667</v>
      </c>
      <c r="P640" s="14">
        <f>IF(AG640="5",J640,0)</f>
        <v>0</v>
      </c>
      <c r="R640" s="14">
        <f>IF(AG640="1",H640,0)</f>
        <v>0</v>
      </c>
      <c r="S640" s="14">
        <f>IF(AG640="1",I640,0)</f>
        <v>0</v>
      </c>
      <c r="T640" s="14">
        <f>IF(AG640="7",H640,0)</f>
        <v>0</v>
      </c>
      <c r="U640" s="14">
        <f>IF(AG640="7",I640,0)</f>
        <v>0</v>
      </c>
      <c r="V640" s="14">
        <f>IF(AG640="2",H640,0)</f>
        <v>0</v>
      </c>
      <c r="W640" s="14">
        <f>IF(AG640="2",I640,0)</f>
        <v>0</v>
      </c>
      <c r="X640" s="14">
        <f>IF(AG640="0",J640,0)</f>
        <v>0</v>
      </c>
      <c r="Y640" s="8" t="s">
        <v>406</v>
      </c>
      <c r="Z640" s="5">
        <f>IF(AD640=0,J640,0)</f>
        <v>0</v>
      </c>
      <c r="AA640" s="5">
        <f>IF(AD640=15,J640,0)</f>
        <v>0</v>
      </c>
      <c r="AB640" s="5">
        <f>IF(AD640=21,J640,0)</f>
        <v>0</v>
      </c>
      <c r="AD640" s="14">
        <v>15</v>
      </c>
      <c r="AE640" s="14">
        <f>G640*0.941581081081081</f>
        <v>0</v>
      </c>
      <c r="AF640" s="14">
        <f>G640*(1-0.941581081081081)</f>
        <v>0</v>
      </c>
      <c r="AG640" s="10" t="s">
        <v>13</v>
      </c>
      <c r="AM640" s="14">
        <f>F640*AE640</f>
        <v>0</v>
      </c>
      <c r="AN640" s="14">
        <f>F640*AF640</f>
        <v>0</v>
      </c>
      <c r="AO640" s="15" t="s">
        <v>1709</v>
      </c>
      <c r="AP640" s="15" t="s">
        <v>1737</v>
      </c>
      <c r="AQ640" s="8" t="s">
        <v>1769</v>
      </c>
      <c r="AS640" s="14">
        <f>AM640+AN640</f>
        <v>0</v>
      </c>
      <c r="AT640" s="14">
        <f>G640/(100-AU640)*100</f>
        <v>0</v>
      </c>
      <c r="AU640" s="14">
        <v>0</v>
      </c>
      <c r="AV640" s="14">
        <f>L640</f>
        <v>0.0058884</v>
      </c>
    </row>
    <row r="641" spans="1:13" ht="12.75">
      <c r="A641" s="102"/>
      <c r="B641" s="102"/>
      <c r="C641" s="102"/>
      <c r="D641" s="103" t="s">
        <v>1319</v>
      </c>
      <c r="E641" s="102"/>
      <c r="F641" s="104">
        <v>3.5</v>
      </c>
      <c r="G641" s="102"/>
      <c r="H641" s="102"/>
      <c r="I641" s="102"/>
      <c r="J641" s="102"/>
      <c r="K641" s="102"/>
      <c r="L641" s="102"/>
      <c r="M641" s="102"/>
    </row>
    <row r="642" spans="1:13" ht="12.75">
      <c r="A642" s="102"/>
      <c r="B642" s="102"/>
      <c r="C642" s="102"/>
      <c r="D642" s="103" t="s">
        <v>1320</v>
      </c>
      <c r="E642" s="102"/>
      <c r="F642" s="104">
        <v>10.52</v>
      </c>
      <c r="G642" s="102"/>
      <c r="H642" s="102"/>
      <c r="I642" s="102"/>
      <c r="J642" s="102"/>
      <c r="K642" s="102"/>
      <c r="L642" s="102"/>
      <c r="M642" s="102"/>
    </row>
    <row r="643" spans="1:48" ht="12.75">
      <c r="A643" s="99" t="s">
        <v>227</v>
      </c>
      <c r="B643" s="99" t="s">
        <v>406</v>
      </c>
      <c r="C643" s="99" t="s">
        <v>645</v>
      </c>
      <c r="D643" s="99" t="s">
        <v>1321</v>
      </c>
      <c r="E643" s="99" t="s">
        <v>1643</v>
      </c>
      <c r="F643" s="100">
        <v>21.04</v>
      </c>
      <c r="G643" s="100">
        <v>0</v>
      </c>
      <c r="H643" s="100">
        <f>F643*AE643</f>
        <v>0</v>
      </c>
      <c r="I643" s="100">
        <f>J643-H643</f>
        <v>0</v>
      </c>
      <c r="J643" s="100">
        <f>F643*G643</f>
        <v>0</v>
      </c>
      <c r="K643" s="100">
        <v>0.00023</v>
      </c>
      <c r="L643" s="100">
        <f>F643*K643</f>
        <v>0.0048392</v>
      </c>
      <c r="M643" s="101" t="s">
        <v>1667</v>
      </c>
      <c r="P643" s="14">
        <f>IF(AG643="5",J643,0)</f>
        <v>0</v>
      </c>
      <c r="R643" s="14">
        <f>IF(AG643="1",H643,0)</f>
        <v>0</v>
      </c>
      <c r="S643" s="14">
        <f>IF(AG643="1",I643,0)</f>
        <v>0</v>
      </c>
      <c r="T643" s="14">
        <f>IF(AG643="7",H643,0)</f>
        <v>0</v>
      </c>
      <c r="U643" s="14">
        <f>IF(AG643="7",I643,0)</f>
        <v>0</v>
      </c>
      <c r="V643" s="14">
        <f>IF(AG643="2",H643,0)</f>
        <v>0</v>
      </c>
      <c r="W643" s="14">
        <f>IF(AG643="2",I643,0)</f>
        <v>0</v>
      </c>
      <c r="X643" s="14">
        <f>IF(AG643="0",J643,0)</f>
        <v>0</v>
      </c>
      <c r="Y643" s="8" t="s">
        <v>406</v>
      </c>
      <c r="Z643" s="5">
        <f>IF(AD643=0,J643,0)</f>
        <v>0</v>
      </c>
      <c r="AA643" s="5">
        <f>IF(AD643=15,J643,0)</f>
        <v>0</v>
      </c>
      <c r="AB643" s="5">
        <f>IF(AD643=21,J643,0)</f>
        <v>0</v>
      </c>
      <c r="AD643" s="14">
        <v>15</v>
      </c>
      <c r="AE643" s="14">
        <f>G643*0.833410404624278</f>
        <v>0</v>
      </c>
      <c r="AF643" s="14">
        <f>G643*(1-0.833410404624278)</f>
        <v>0</v>
      </c>
      <c r="AG643" s="10" t="s">
        <v>13</v>
      </c>
      <c r="AM643" s="14">
        <f>F643*AE643</f>
        <v>0</v>
      </c>
      <c r="AN643" s="14">
        <f>F643*AF643</f>
        <v>0</v>
      </c>
      <c r="AO643" s="15" t="s">
        <v>1709</v>
      </c>
      <c r="AP643" s="15" t="s">
        <v>1737</v>
      </c>
      <c r="AQ643" s="8" t="s">
        <v>1769</v>
      </c>
      <c r="AS643" s="14">
        <f>AM643+AN643</f>
        <v>0</v>
      </c>
      <c r="AT643" s="14">
        <f>G643/(100-AU643)*100</f>
        <v>0</v>
      </c>
      <c r="AU643" s="14">
        <v>0</v>
      </c>
      <c r="AV643" s="14">
        <f>L643</f>
        <v>0.0048392</v>
      </c>
    </row>
    <row r="644" spans="1:13" ht="12.75">
      <c r="A644" s="102"/>
      <c r="B644" s="102"/>
      <c r="C644" s="102"/>
      <c r="D644" s="103" t="s">
        <v>1322</v>
      </c>
      <c r="E644" s="102"/>
      <c r="F644" s="104">
        <v>21.04</v>
      </c>
      <c r="G644" s="102"/>
      <c r="H644" s="102"/>
      <c r="I644" s="102"/>
      <c r="J644" s="102"/>
      <c r="K644" s="102"/>
      <c r="L644" s="102"/>
      <c r="M644" s="102"/>
    </row>
    <row r="645" spans="1:48" ht="12.75">
      <c r="A645" s="105" t="s">
        <v>228</v>
      </c>
      <c r="B645" s="105" t="s">
        <v>406</v>
      </c>
      <c r="C645" s="105" t="s">
        <v>646</v>
      </c>
      <c r="D645" s="105" t="s">
        <v>1323</v>
      </c>
      <c r="E645" s="105" t="s">
        <v>1640</v>
      </c>
      <c r="F645" s="106">
        <v>40.42</v>
      </c>
      <c r="G645" s="106">
        <v>0</v>
      </c>
      <c r="H645" s="106">
        <f>F645*AE645</f>
        <v>0</v>
      </c>
      <c r="I645" s="106">
        <f>J645-H645</f>
        <v>0</v>
      </c>
      <c r="J645" s="106">
        <f>F645*G645</f>
        <v>0</v>
      </c>
      <c r="K645" s="106">
        <v>0.0126</v>
      </c>
      <c r="L645" s="106">
        <f>F645*K645</f>
        <v>0.5092920000000001</v>
      </c>
      <c r="M645" s="107" t="s">
        <v>1667</v>
      </c>
      <c r="P645" s="14">
        <f>IF(AG645="5",J645,0)</f>
        <v>0</v>
      </c>
      <c r="R645" s="14">
        <f>IF(AG645="1",H645,0)</f>
        <v>0</v>
      </c>
      <c r="S645" s="14">
        <f>IF(AG645="1",I645,0)</f>
        <v>0</v>
      </c>
      <c r="T645" s="14">
        <f>IF(AG645="7",H645,0)</f>
        <v>0</v>
      </c>
      <c r="U645" s="14">
        <f>IF(AG645="7",I645,0)</f>
        <v>0</v>
      </c>
      <c r="V645" s="14">
        <f>IF(AG645="2",H645,0)</f>
        <v>0</v>
      </c>
      <c r="W645" s="14">
        <f>IF(AG645="2",I645,0)</f>
        <v>0</v>
      </c>
      <c r="X645" s="14">
        <f>IF(AG645="0",J645,0)</f>
        <v>0</v>
      </c>
      <c r="Y645" s="8" t="s">
        <v>406</v>
      </c>
      <c r="Z645" s="6">
        <f>IF(AD645=0,J645,0)</f>
        <v>0</v>
      </c>
      <c r="AA645" s="6">
        <f>IF(AD645=15,J645,0)</f>
        <v>0</v>
      </c>
      <c r="AB645" s="6">
        <f>IF(AD645=21,J645,0)</f>
        <v>0</v>
      </c>
      <c r="AD645" s="14">
        <v>15</v>
      </c>
      <c r="AE645" s="14">
        <f>G645*1</f>
        <v>0</v>
      </c>
      <c r="AF645" s="14">
        <f>G645*(1-1)</f>
        <v>0</v>
      </c>
      <c r="AG645" s="11" t="s">
        <v>13</v>
      </c>
      <c r="AM645" s="14">
        <f>F645*AE645</f>
        <v>0</v>
      </c>
      <c r="AN645" s="14">
        <f>F645*AF645</f>
        <v>0</v>
      </c>
      <c r="AO645" s="15" t="s">
        <v>1709</v>
      </c>
      <c r="AP645" s="15" t="s">
        <v>1737</v>
      </c>
      <c r="AQ645" s="8" t="s">
        <v>1769</v>
      </c>
      <c r="AS645" s="14">
        <f>AM645+AN645</f>
        <v>0</v>
      </c>
      <c r="AT645" s="14">
        <f>G645/(100-AU645)*100</f>
        <v>0</v>
      </c>
      <c r="AU645" s="14">
        <v>0</v>
      </c>
      <c r="AV645" s="14">
        <f>L645</f>
        <v>0.5092920000000001</v>
      </c>
    </row>
    <row r="646" spans="1:13" ht="12.75">
      <c r="A646" s="102"/>
      <c r="B646" s="102"/>
      <c r="C646" s="102"/>
      <c r="D646" s="103" t="s">
        <v>1324</v>
      </c>
      <c r="E646" s="102"/>
      <c r="F646" s="104">
        <v>40.42</v>
      </c>
      <c r="G646" s="102"/>
      <c r="H646" s="102"/>
      <c r="I646" s="102"/>
      <c r="J646" s="102"/>
      <c r="K646" s="102"/>
      <c r="L646" s="102"/>
      <c r="M646" s="102"/>
    </row>
    <row r="647" spans="1:48" ht="12.75">
      <c r="A647" s="99" t="s">
        <v>229</v>
      </c>
      <c r="B647" s="99" t="s">
        <v>406</v>
      </c>
      <c r="C647" s="99" t="s">
        <v>647</v>
      </c>
      <c r="D647" s="99" t="s">
        <v>1325</v>
      </c>
      <c r="E647" s="99" t="s">
        <v>1642</v>
      </c>
      <c r="F647" s="100">
        <v>0.67</v>
      </c>
      <c r="G647" s="100">
        <v>0</v>
      </c>
      <c r="H647" s="100">
        <f>F647*AE647</f>
        <v>0</v>
      </c>
      <c r="I647" s="100">
        <f>J647-H647</f>
        <v>0</v>
      </c>
      <c r="J647" s="100">
        <f>F647*G647</f>
        <v>0</v>
      </c>
      <c r="K647" s="100">
        <v>0</v>
      </c>
      <c r="L647" s="100">
        <f>F647*K647</f>
        <v>0</v>
      </c>
      <c r="M647" s="101" t="s">
        <v>1667</v>
      </c>
      <c r="P647" s="14">
        <f>IF(AG647="5",J647,0)</f>
        <v>0</v>
      </c>
      <c r="R647" s="14">
        <f>IF(AG647="1",H647,0)</f>
        <v>0</v>
      </c>
      <c r="S647" s="14">
        <f>IF(AG647="1",I647,0)</f>
        <v>0</v>
      </c>
      <c r="T647" s="14">
        <f>IF(AG647="7",H647,0)</f>
        <v>0</v>
      </c>
      <c r="U647" s="14">
        <f>IF(AG647="7",I647,0)</f>
        <v>0</v>
      </c>
      <c r="V647" s="14">
        <f>IF(AG647="2",H647,0)</f>
        <v>0</v>
      </c>
      <c r="W647" s="14">
        <f>IF(AG647="2",I647,0)</f>
        <v>0</v>
      </c>
      <c r="X647" s="14">
        <f>IF(AG647="0",J647,0)</f>
        <v>0</v>
      </c>
      <c r="Y647" s="8" t="s">
        <v>406</v>
      </c>
      <c r="Z647" s="5">
        <f>IF(AD647=0,J647,0)</f>
        <v>0</v>
      </c>
      <c r="AA647" s="5">
        <f>IF(AD647=15,J647,0)</f>
        <v>0</v>
      </c>
      <c r="AB647" s="5">
        <f>IF(AD647=21,J647,0)</f>
        <v>0</v>
      </c>
      <c r="AD647" s="14">
        <v>15</v>
      </c>
      <c r="AE647" s="14">
        <f>G647*0</f>
        <v>0</v>
      </c>
      <c r="AF647" s="14">
        <f>G647*(1-0)</f>
        <v>0</v>
      </c>
      <c r="AG647" s="10" t="s">
        <v>11</v>
      </c>
      <c r="AM647" s="14">
        <f>F647*AE647</f>
        <v>0</v>
      </c>
      <c r="AN647" s="14">
        <f>F647*AF647</f>
        <v>0</v>
      </c>
      <c r="AO647" s="15" t="s">
        <v>1709</v>
      </c>
      <c r="AP647" s="15" t="s">
        <v>1737</v>
      </c>
      <c r="AQ647" s="8" t="s">
        <v>1769</v>
      </c>
      <c r="AS647" s="14">
        <f>AM647+AN647</f>
        <v>0</v>
      </c>
      <c r="AT647" s="14">
        <f>G647/(100-AU647)*100</f>
        <v>0</v>
      </c>
      <c r="AU647" s="14">
        <v>0</v>
      </c>
      <c r="AV647" s="14">
        <f>L647</f>
        <v>0</v>
      </c>
    </row>
    <row r="648" spans="1:37" ht="12.75">
      <c r="A648" s="93"/>
      <c r="B648" s="94" t="s">
        <v>406</v>
      </c>
      <c r="C648" s="94" t="s">
        <v>648</v>
      </c>
      <c r="D648" s="95" t="s">
        <v>1326</v>
      </c>
      <c r="E648" s="96"/>
      <c r="F648" s="96"/>
      <c r="G648" s="96"/>
      <c r="H648" s="97">
        <f>SUM(H649:H657)</f>
        <v>0</v>
      </c>
      <c r="I648" s="97">
        <f>SUM(I649:I657)</f>
        <v>0</v>
      </c>
      <c r="J648" s="97">
        <f>H648+I648</f>
        <v>0</v>
      </c>
      <c r="K648" s="98"/>
      <c r="L648" s="97">
        <f>SUM(L649:L657)</f>
        <v>0.07273429999999999</v>
      </c>
      <c r="M648" s="98"/>
      <c r="Y648" s="8" t="s">
        <v>406</v>
      </c>
      <c r="AI648" s="16">
        <f>SUM(Z649:Z657)</f>
        <v>0</v>
      </c>
      <c r="AJ648" s="16">
        <f>SUM(AA649:AA657)</f>
        <v>0</v>
      </c>
      <c r="AK648" s="16">
        <f>SUM(AB649:AB657)</f>
        <v>0</v>
      </c>
    </row>
    <row r="649" spans="1:48" ht="12.75">
      <c r="A649" s="99" t="s">
        <v>230</v>
      </c>
      <c r="B649" s="99" t="s">
        <v>406</v>
      </c>
      <c r="C649" s="99" t="s">
        <v>649</v>
      </c>
      <c r="D649" s="99" t="s">
        <v>1327</v>
      </c>
      <c r="E649" s="99" t="s">
        <v>1640</v>
      </c>
      <c r="F649" s="100">
        <v>32.82</v>
      </c>
      <c r="G649" s="100">
        <v>0</v>
      </c>
      <c r="H649" s="100">
        <f>F649*AE649</f>
        <v>0</v>
      </c>
      <c r="I649" s="100">
        <f>J649-H649</f>
        <v>0</v>
      </c>
      <c r="J649" s="100">
        <f>F649*G649</f>
        <v>0</v>
      </c>
      <c r="K649" s="100">
        <v>0.00032</v>
      </c>
      <c r="L649" s="100">
        <f>F649*K649</f>
        <v>0.0105024</v>
      </c>
      <c r="M649" s="101" t="s">
        <v>1667</v>
      </c>
      <c r="P649" s="14">
        <f>IF(AG649="5",J649,0)</f>
        <v>0</v>
      </c>
      <c r="R649" s="14">
        <f>IF(AG649="1",H649,0)</f>
        <v>0</v>
      </c>
      <c r="S649" s="14">
        <f>IF(AG649="1",I649,0)</f>
        <v>0</v>
      </c>
      <c r="T649" s="14">
        <f>IF(AG649="7",H649,0)</f>
        <v>0</v>
      </c>
      <c r="U649" s="14">
        <f>IF(AG649="7",I649,0)</f>
        <v>0</v>
      </c>
      <c r="V649" s="14">
        <f>IF(AG649="2",H649,0)</f>
        <v>0</v>
      </c>
      <c r="W649" s="14">
        <f>IF(AG649="2",I649,0)</f>
        <v>0</v>
      </c>
      <c r="X649" s="14">
        <f>IF(AG649="0",J649,0)</f>
        <v>0</v>
      </c>
      <c r="Y649" s="8" t="s">
        <v>406</v>
      </c>
      <c r="Z649" s="5">
        <f>IF(AD649=0,J649,0)</f>
        <v>0</v>
      </c>
      <c r="AA649" s="5">
        <f>IF(AD649=15,J649,0)</f>
        <v>0</v>
      </c>
      <c r="AB649" s="5">
        <f>IF(AD649=21,J649,0)</f>
        <v>0</v>
      </c>
      <c r="AD649" s="14">
        <v>15</v>
      </c>
      <c r="AE649" s="14">
        <f>G649*0.366451612903226</f>
        <v>0</v>
      </c>
      <c r="AF649" s="14">
        <f>G649*(1-0.366451612903226)</f>
        <v>0</v>
      </c>
      <c r="AG649" s="10" t="s">
        <v>13</v>
      </c>
      <c r="AM649" s="14">
        <f>F649*AE649</f>
        <v>0</v>
      </c>
      <c r="AN649" s="14">
        <f>F649*AF649</f>
        <v>0</v>
      </c>
      <c r="AO649" s="15" t="s">
        <v>1710</v>
      </c>
      <c r="AP649" s="15" t="s">
        <v>1737</v>
      </c>
      <c r="AQ649" s="8" t="s">
        <v>1769</v>
      </c>
      <c r="AS649" s="14">
        <f>AM649+AN649</f>
        <v>0</v>
      </c>
      <c r="AT649" s="14">
        <f>G649/(100-AU649)*100</f>
        <v>0</v>
      </c>
      <c r="AU649" s="14">
        <v>0</v>
      </c>
      <c r="AV649" s="14">
        <f>L649</f>
        <v>0.0105024</v>
      </c>
    </row>
    <row r="650" spans="1:13" ht="12.75">
      <c r="A650" s="102"/>
      <c r="B650" s="102"/>
      <c r="C650" s="102"/>
      <c r="D650" s="103" t="s">
        <v>1328</v>
      </c>
      <c r="E650" s="102"/>
      <c r="F650" s="104">
        <v>11.01</v>
      </c>
      <c r="G650" s="102"/>
      <c r="H650" s="102"/>
      <c r="I650" s="102"/>
      <c r="J650" s="102"/>
      <c r="K650" s="102"/>
      <c r="L650" s="102"/>
      <c r="M650" s="102"/>
    </row>
    <row r="651" spans="1:13" ht="12.75">
      <c r="A651" s="102"/>
      <c r="B651" s="102"/>
      <c r="C651" s="102"/>
      <c r="D651" s="103" t="s">
        <v>1329</v>
      </c>
      <c r="E651" s="102"/>
      <c r="F651" s="104">
        <v>5.72</v>
      </c>
      <c r="G651" s="102"/>
      <c r="H651" s="102"/>
      <c r="I651" s="102"/>
      <c r="J651" s="102"/>
      <c r="K651" s="102"/>
      <c r="L651" s="102"/>
      <c r="M651" s="102"/>
    </row>
    <row r="652" spans="1:13" ht="12.75">
      <c r="A652" s="102"/>
      <c r="B652" s="102"/>
      <c r="C652" s="102"/>
      <c r="D652" s="103" t="s">
        <v>1330</v>
      </c>
      <c r="E652" s="102"/>
      <c r="F652" s="104">
        <v>3.87</v>
      </c>
      <c r="G652" s="102"/>
      <c r="H652" s="102"/>
      <c r="I652" s="102"/>
      <c r="J652" s="102"/>
      <c r="K652" s="102"/>
      <c r="L652" s="102"/>
      <c r="M652" s="102"/>
    </row>
    <row r="653" spans="1:13" ht="12.75">
      <c r="A653" s="102"/>
      <c r="B653" s="102"/>
      <c r="C653" s="102"/>
      <c r="D653" s="103" t="s">
        <v>1331</v>
      </c>
      <c r="E653" s="102"/>
      <c r="F653" s="104">
        <v>5.1</v>
      </c>
      <c r="G653" s="102"/>
      <c r="H653" s="102"/>
      <c r="I653" s="102"/>
      <c r="J653" s="102"/>
      <c r="K653" s="102"/>
      <c r="L653" s="102"/>
      <c r="M653" s="102"/>
    </row>
    <row r="654" spans="1:13" ht="12.75">
      <c r="A654" s="102"/>
      <c r="B654" s="102"/>
      <c r="C654" s="102"/>
      <c r="D654" s="103" t="s">
        <v>1332</v>
      </c>
      <c r="E654" s="102"/>
      <c r="F654" s="104">
        <v>5.64</v>
      </c>
      <c r="G654" s="102"/>
      <c r="H654" s="102"/>
      <c r="I654" s="102"/>
      <c r="J654" s="102"/>
      <c r="K654" s="102"/>
      <c r="L654" s="102"/>
      <c r="M654" s="102"/>
    </row>
    <row r="655" spans="1:13" ht="12.75">
      <c r="A655" s="102"/>
      <c r="B655" s="102"/>
      <c r="C655" s="102"/>
      <c r="D655" s="103" t="s">
        <v>1333</v>
      </c>
      <c r="E655" s="102"/>
      <c r="F655" s="104">
        <v>1.48</v>
      </c>
      <c r="G655" s="102"/>
      <c r="H655" s="102"/>
      <c r="I655" s="102"/>
      <c r="J655" s="102"/>
      <c r="K655" s="102"/>
      <c r="L655" s="102"/>
      <c r="M655" s="102"/>
    </row>
    <row r="656" spans="1:48" ht="12.75">
      <c r="A656" s="99" t="s">
        <v>231</v>
      </c>
      <c r="B656" s="99" t="s">
        <v>406</v>
      </c>
      <c r="C656" s="99" t="s">
        <v>650</v>
      </c>
      <c r="D656" s="99" t="s">
        <v>1334</v>
      </c>
      <c r="E656" s="99" t="s">
        <v>1640</v>
      </c>
      <c r="F656" s="100">
        <v>16.73</v>
      </c>
      <c r="G656" s="100">
        <v>0</v>
      </c>
      <c r="H656" s="100">
        <f>F656*AE656</f>
        <v>0</v>
      </c>
      <c r="I656" s="100">
        <f>J656-H656</f>
        <v>0</v>
      </c>
      <c r="J656" s="100">
        <f>F656*G656</f>
        <v>0</v>
      </c>
      <c r="K656" s="100">
        <v>0.00013</v>
      </c>
      <c r="L656" s="100">
        <f>F656*K656</f>
        <v>0.0021749</v>
      </c>
      <c r="M656" s="101" t="s">
        <v>1667</v>
      </c>
      <c r="P656" s="14">
        <f>IF(AG656="5",J656,0)</f>
        <v>0</v>
      </c>
      <c r="R656" s="14">
        <f>IF(AG656="1",H656,0)</f>
        <v>0</v>
      </c>
      <c r="S656" s="14">
        <f>IF(AG656="1",I656,0)</f>
        <v>0</v>
      </c>
      <c r="T656" s="14">
        <f>IF(AG656="7",H656,0)</f>
        <v>0</v>
      </c>
      <c r="U656" s="14">
        <f>IF(AG656="7",I656,0)</f>
        <v>0</v>
      </c>
      <c r="V656" s="14">
        <f>IF(AG656="2",H656,0)</f>
        <v>0</v>
      </c>
      <c r="W656" s="14">
        <f>IF(AG656="2",I656,0)</f>
        <v>0</v>
      </c>
      <c r="X656" s="14">
        <f>IF(AG656="0",J656,0)</f>
        <v>0</v>
      </c>
      <c r="Y656" s="8" t="s">
        <v>406</v>
      </c>
      <c r="Z656" s="5">
        <f>IF(AD656=0,J656,0)</f>
        <v>0</v>
      </c>
      <c r="AA656" s="5">
        <f>IF(AD656=15,J656,0)</f>
        <v>0</v>
      </c>
      <c r="AB656" s="5">
        <f>IF(AD656=21,J656,0)</f>
        <v>0</v>
      </c>
      <c r="AD656" s="14">
        <v>15</v>
      </c>
      <c r="AE656" s="14">
        <f>G656*0.47741935483871</f>
        <v>0</v>
      </c>
      <c r="AF656" s="14">
        <f>G656*(1-0.47741935483871)</f>
        <v>0</v>
      </c>
      <c r="AG656" s="10" t="s">
        <v>13</v>
      </c>
      <c r="AM656" s="14">
        <f>F656*AE656</f>
        <v>0</v>
      </c>
      <c r="AN656" s="14">
        <f>F656*AF656</f>
        <v>0</v>
      </c>
      <c r="AO656" s="15" t="s">
        <v>1710</v>
      </c>
      <c r="AP656" s="15" t="s">
        <v>1737</v>
      </c>
      <c r="AQ656" s="8" t="s">
        <v>1769</v>
      </c>
      <c r="AS656" s="14">
        <f>AM656+AN656</f>
        <v>0</v>
      </c>
      <c r="AT656" s="14">
        <f>G656/(100-AU656)*100</f>
        <v>0</v>
      </c>
      <c r="AU656" s="14">
        <v>0</v>
      </c>
      <c r="AV656" s="14">
        <f>L656</f>
        <v>0.0021749</v>
      </c>
    </row>
    <row r="657" spans="1:48" ht="12.75">
      <c r="A657" s="99" t="s">
        <v>232</v>
      </c>
      <c r="B657" s="99" t="s">
        <v>406</v>
      </c>
      <c r="C657" s="99" t="s">
        <v>651</v>
      </c>
      <c r="D657" s="99" t="s">
        <v>1335</v>
      </c>
      <c r="E657" s="99" t="s">
        <v>1640</v>
      </c>
      <c r="F657" s="100">
        <v>200.19</v>
      </c>
      <c r="G657" s="100">
        <v>0</v>
      </c>
      <c r="H657" s="100">
        <f>F657*AE657</f>
        <v>0</v>
      </c>
      <c r="I657" s="100">
        <f>J657-H657</f>
        <v>0</v>
      </c>
      <c r="J657" s="100">
        <f>F657*G657</f>
        <v>0</v>
      </c>
      <c r="K657" s="100">
        <v>0.0003</v>
      </c>
      <c r="L657" s="100">
        <f>F657*K657</f>
        <v>0.06005699999999999</v>
      </c>
      <c r="M657" s="101" t="s">
        <v>1667</v>
      </c>
      <c r="P657" s="14">
        <f>IF(AG657="5",J657,0)</f>
        <v>0</v>
      </c>
      <c r="R657" s="14">
        <f>IF(AG657="1",H657,0)</f>
        <v>0</v>
      </c>
      <c r="S657" s="14">
        <f>IF(AG657="1",I657,0)</f>
        <v>0</v>
      </c>
      <c r="T657" s="14">
        <f>IF(AG657="7",H657,0)</f>
        <v>0</v>
      </c>
      <c r="U657" s="14">
        <f>IF(AG657="7",I657,0)</f>
        <v>0</v>
      </c>
      <c r="V657" s="14">
        <f>IF(AG657="2",H657,0)</f>
        <v>0</v>
      </c>
      <c r="W657" s="14">
        <f>IF(AG657="2",I657,0)</f>
        <v>0</v>
      </c>
      <c r="X657" s="14">
        <f>IF(AG657="0",J657,0)</f>
        <v>0</v>
      </c>
      <c r="Y657" s="8" t="s">
        <v>406</v>
      </c>
      <c r="Z657" s="5">
        <f>IF(AD657=0,J657,0)</f>
        <v>0</v>
      </c>
      <c r="AA657" s="5">
        <f>IF(AD657=15,J657,0)</f>
        <v>0</v>
      </c>
      <c r="AB657" s="5">
        <f>IF(AD657=21,J657,0)</f>
        <v>0</v>
      </c>
      <c r="AD657" s="14">
        <v>15</v>
      </c>
      <c r="AE657" s="14">
        <f>G657*0.265529010238908</f>
        <v>0</v>
      </c>
      <c r="AF657" s="14">
        <f>G657*(1-0.265529010238908)</f>
        <v>0</v>
      </c>
      <c r="AG657" s="10" t="s">
        <v>13</v>
      </c>
      <c r="AM657" s="14">
        <f>F657*AE657</f>
        <v>0</v>
      </c>
      <c r="AN657" s="14">
        <f>F657*AF657</f>
        <v>0</v>
      </c>
      <c r="AO657" s="15" t="s">
        <v>1710</v>
      </c>
      <c r="AP657" s="15" t="s">
        <v>1737</v>
      </c>
      <c r="AQ657" s="8" t="s">
        <v>1769</v>
      </c>
      <c r="AS657" s="14">
        <f>AM657+AN657</f>
        <v>0</v>
      </c>
      <c r="AT657" s="14">
        <f>G657/(100-AU657)*100</f>
        <v>0</v>
      </c>
      <c r="AU657" s="14">
        <v>0</v>
      </c>
      <c r="AV657" s="14">
        <f>L657</f>
        <v>0.06005699999999999</v>
      </c>
    </row>
    <row r="658" spans="1:13" ht="12.75">
      <c r="A658" s="102"/>
      <c r="B658" s="102"/>
      <c r="C658" s="102"/>
      <c r="D658" s="103" t="s">
        <v>1336</v>
      </c>
      <c r="E658" s="102"/>
      <c r="F658" s="104">
        <v>11.45</v>
      </c>
      <c r="G658" s="102"/>
      <c r="H658" s="102"/>
      <c r="I658" s="102"/>
      <c r="J658" s="102"/>
      <c r="K658" s="102"/>
      <c r="L658" s="102"/>
      <c r="M658" s="102"/>
    </row>
    <row r="659" spans="1:13" ht="12.75">
      <c r="A659" s="102"/>
      <c r="B659" s="102"/>
      <c r="C659" s="102"/>
      <c r="D659" s="103" t="s">
        <v>1337</v>
      </c>
      <c r="E659" s="102"/>
      <c r="F659" s="104">
        <v>4.65</v>
      </c>
      <c r="G659" s="102"/>
      <c r="H659" s="102"/>
      <c r="I659" s="102"/>
      <c r="J659" s="102"/>
      <c r="K659" s="102"/>
      <c r="L659" s="102"/>
      <c r="M659" s="102"/>
    </row>
    <row r="660" spans="1:13" ht="12.75">
      <c r="A660" s="102"/>
      <c r="B660" s="102"/>
      <c r="C660" s="102"/>
      <c r="D660" s="103" t="s">
        <v>1338</v>
      </c>
      <c r="E660" s="102"/>
      <c r="F660" s="104">
        <v>7.93</v>
      </c>
      <c r="G660" s="102"/>
      <c r="H660" s="102"/>
      <c r="I660" s="102"/>
      <c r="J660" s="102"/>
      <c r="K660" s="102"/>
      <c r="L660" s="102"/>
      <c r="M660" s="102"/>
    </row>
    <row r="661" spans="1:13" ht="12.75">
      <c r="A661" s="102"/>
      <c r="B661" s="102"/>
      <c r="C661" s="102"/>
      <c r="D661" s="103" t="s">
        <v>1339</v>
      </c>
      <c r="E661" s="102"/>
      <c r="F661" s="104">
        <v>73.36</v>
      </c>
      <c r="G661" s="102"/>
      <c r="H661" s="102"/>
      <c r="I661" s="102"/>
      <c r="J661" s="102"/>
      <c r="K661" s="102"/>
      <c r="L661" s="102"/>
      <c r="M661" s="102"/>
    </row>
    <row r="662" spans="1:13" ht="12.75">
      <c r="A662" s="102"/>
      <c r="B662" s="102"/>
      <c r="C662" s="102"/>
      <c r="D662" s="103" t="s">
        <v>1340</v>
      </c>
      <c r="E662" s="102"/>
      <c r="F662" s="104">
        <v>92.4</v>
      </c>
      <c r="G662" s="102"/>
      <c r="H662" s="102"/>
      <c r="I662" s="102"/>
      <c r="J662" s="102"/>
      <c r="K662" s="102"/>
      <c r="L662" s="102"/>
      <c r="M662" s="102"/>
    </row>
    <row r="663" spans="1:13" ht="12.75">
      <c r="A663" s="102"/>
      <c r="B663" s="102"/>
      <c r="C663" s="102"/>
      <c r="D663" s="103" t="s">
        <v>1341</v>
      </c>
      <c r="E663" s="102"/>
      <c r="F663" s="104">
        <v>10.4</v>
      </c>
      <c r="G663" s="102"/>
      <c r="H663" s="102"/>
      <c r="I663" s="102"/>
      <c r="J663" s="102"/>
      <c r="K663" s="102"/>
      <c r="L663" s="102"/>
      <c r="M663" s="102"/>
    </row>
    <row r="664" spans="1:37" ht="12.75">
      <c r="A664" s="93"/>
      <c r="B664" s="94" t="s">
        <v>406</v>
      </c>
      <c r="C664" s="94" t="s">
        <v>652</v>
      </c>
      <c r="D664" s="95" t="s">
        <v>1342</v>
      </c>
      <c r="E664" s="96"/>
      <c r="F664" s="96"/>
      <c r="G664" s="96"/>
      <c r="H664" s="97">
        <f>SUM(H665:H686)</f>
        <v>0</v>
      </c>
      <c r="I664" s="97">
        <f>SUM(I665:I686)</f>
        <v>0</v>
      </c>
      <c r="J664" s="97">
        <f>H664+I664</f>
        <v>0</v>
      </c>
      <c r="K664" s="98"/>
      <c r="L664" s="97">
        <f>SUM(L665:L686)</f>
        <v>0.3350655</v>
      </c>
      <c r="M664" s="98"/>
      <c r="Y664" s="8" t="s">
        <v>406</v>
      </c>
      <c r="AI664" s="16">
        <f>SUM(Z665:Z686)</f>
        <v>0</v>
      </c>
      <c r="AJ664" s="16">
        <f>SUM(AA665:AA686)</f>
        <v>0</v>
      </c>
      <c r="AK664" s="16">
        <f>SUM(AB665:AB686)</f>
        <v>0</v>
      </c>
    </row>
    <row r="665" spans="1:48" ht="12.75">
      <c r="A665" s="99" t="s">
        <v>233</v>
      </c>
      <c r="B665" s="99" t="s">
        <v>406</v>
      </c>
      <c r="C665" s="99" t="s">
        <v>653</v>
      </c>
      <c r="D665" s="99" t="s">
        <v>1343</v>
      </c>
      <c r="E665" s="99" t="s">
        <v>1640</v>
      </c>
      <c r="F665" s="100">
        <v>531.85</v>
      </c>
      <c r="G665" s="100">
        <v>0</v>
      </c>
      <c r="H665" s="100">
        <f>F665*AE665</f>
        <v>0</v>
      </c>
      <c r="I665" s="100">
        <f>J665-H665</f>
        <v>0</v>
      </c>
      <c r="J665" s="100">
        <f>F665*G665</f>
        <v>0</v>
      </c>
      <c r="K665" s="100">
        <v>0.00017</v>
      </c>
      <c r="L665" s="100">
        <f>F665*K665</f>
        <v>0.09041450000000001</v>
      </c>
      <c r="M665" s="101" t="s">
        <v>1667</v>
      </c>
      <c r="P665" s="14">
        <f>IF(AG665="5",J665,0)</f>
        <v>0</v>
      </c>
      <c r="R665" s="14">
        <f>IF(AG665="1",H665,0)</f>
        <v>0</v>
      </c>
      <c r="S665" s="14">
        <f>IF(AG665="1",I665,0)</f>
        <v>0</v>
      </c>
      <c r="T665" s="14">
        <f>IF(AG665="7",H665,0)</f>
        <v>0</v>
      </c>
      <c r="U665" s="14">
        <f>IF(AG665="7",I665,0)</f>
        <v>0</v>
      </c>
      <c r="V665" s="14">
        <f>IF(AG665="2",H665,0)</f>
        <v>0</v>
      </c>
      <c r="W665" s="14">
        <f>IF(AG665="2",I665,0)</f>
        <v>0</v>
      </c>
      <c r="X665" s="14">
        <f>IF(AG665="0",J665,0)</f>
        <v>0</v>
      </c>
      <c r="Y665" s="8" t="s">
        <v>406</v>
      </c>
      <c r="Z665" s="5">
        <f>IF(AD665=0,J665,0)</f>
        <v>0</v>
      </c>
      <c r="AA665" s="5">
        <f>IF(AD665=15,J665,0)</f>
        <v>0</v>
      </c>
      <c r="AB665" s="5">
        <f>IF(AD665=21,J665,0)</f>
        <v>0</v>
      </c>
      <c r="AD665" s="14">
        <v>15</v>
      </c>
      <c r="AE665" s="14">
        <f>G665*0.291194968553459</f>
        <v>0</v>
      </c>
      <c r="AF665" s="14">
        <f>G665*(1-0.291194968553459)</f>
        <v>0</v>
      </c>
      <c r="AG665" s="10" t="s">
        <v>13</v>
      </c>
      <c r="AM665" s="14">
        <f>F665*AE665</f>
        <v>0</v>
      </c>
      <c r="AN665" s="14">
        <f>F665*AF665</f>
        <v>0</v>
      </c>
      <c r="AO665" s="15" t="s">
        <v>1711</v>
      </c>
      <c r="AP665" s="15" t="s">
        <v>1737</v>
      </c>
      <c r="AQ665" s="8" t="s">
        <v>1769</v>
      </c>
      <c r="AS665" s="14">
        <f>AM665+AN665</f>
        <v>0</v>
      </c>
      <c r="AT665" s="14">
        <f>G665/(100-AU665)*100</f>
        <v>0</v>
      </c>
      <c r="AU665" s="14">
        <v>0</v>
      </c>
      <c r="AV665" s="14">
        <f>L665</f>
        <v>0.09041450000000001</v>
      </c>
    </row>
    <row r="666" spans="1:13" ht="12.75">
      <c r="A666" s="102"/>
      <c r="B666" s="102"/>
      <c r="C666" s="102"/>
      <c r="D666" s="103" t="s">
        <v>1344</v>
      </c>
      <c r="E666" s="102"/>
      <c r="F666" s="104">
        <v>78.2</v>
      </c>
      <c r="G666" s="102"/>
      <c r="H666" s="102"/>
      <c r="I666" s="102"/>
      <c r="J666" s="102"/>
      <c r="K666" s="102"/>
      <c r="L666" s="102"/>
      <c r="M666" s="102"/>
    </row>
    <row r="667" spans="1:13" ht="12.75">
      <c r="A667" s="102"/>
      <c r="B667" s="102"/>
      <c r="C667" s="102"/>
      <c r="D667" s="103" t="s">
        <v>1345</v>
      </c>
      <c r="E667" s="102"/>
      <c r="F667" s="104">
        <v>19.86</v>
      </c>
      <c r="G667" s="102"/>
      <c r="H667" s="102"/>
      <c r="I667" s="102"/>
      <c r="J667" s="102"/>
      <c r="K667" s="102"/>
      <c r="L667" s="102"/>
      <c r="M667" s="102"/>
    </row>
    <row r="668" spans="1:13" ht="12.75">
      <c r="A668" s="102"/>
      <c r="B668" s="102"/>
      <c r="C668" s="102"/>
      <c r="D668" s="103" t="s">
        <v>1346</v>
      </c>
      <c r="E668" s="102"/>
      <c r="F668" s="104">
        <v>23.2</v>
      </c>
      <c r="G668" s="102"/>
      <c r="H668" s="102"/>
      <c r="I668" s="102"/>
      <c r="J668" s="102"/>
      <c r="K668" s="102"/>
      <c r="L668" s="102"/>
      <c r="M668" s="102"/>
    </row>
    <row r="669" spans="1:13" ht="12.75">
      <c r="A669" s="102"/>
      <c r="B669" s="102"/>
      <c r="C669" s="102"/>
      <c r="D669" s="103" t="s">
        <v>1347</v>
      </c>
      <c r="E669" s="102"/>
      <c r="F669" s="104">
        <v>23.54</v>
      </c>
      <c r="G669" s="102"/>
      <c r="H669" s="102"/>
      <c r="I669" s="102"/>
      <c r="J669" s="102"/>
      <c r="K669" s="102"/>
      <c r="L669" s="102"/>
      <c r="M669" s="102"/>
    </row>
    <row r="670" spans="1:13" ht="12.75">
      <c r="A670" s="102"/>
      <c r="B670" s="102"/>
      <c r="C670" s="102"/>
      <c r="D670" s="103" t="s">
        <v>1348</v>
      </c>
      <c r="E670" s="102"/>
      <c r="F670" s="104">
        <v>46.76</v>
      </c>
      <c r="G670" s="102"/>
      <c r="H670" s="102"/>
      <c r="I670" s="102"/>
      <c r="J670" s="102"/>
      <c r="K670" s="102"/>
      <c r="L670" s="102"/>
      <c r="M670" s="102"/>
    </row>
    <row r="671" spans="1:13" ht="12.75">
      <c r="A671" s="102"/>
      <c r="B671" s="102"/>
      <c r="C671" s="102"/>
      <c r="D671" s="103" t="s">
        <v>1349</v>
      </c>
      <c r="E671" s="102"/>
      <c r="F671" s="104">
        <v>46.76</v>
      </c>
      <c r="G671" s="102"/>
      <c r="H671" s="102"/>
      <c r="I671" s="102"/>
      <c r="J671" s="102"/>
      <c r="K671" s="102"/>
      <c r="L671" s="102"/>
      <c r="M671" s="102"/>
    </row>
    <row r="672" spans="1:13" ht="12.75">
      <c r="A672" s="102"/>
      <c r="B672" s="102"/>
      <c r="C672" s="102"/>
      <c r="D672" s="103" t="s">
        <v>1350</v>
      </c>
      <c r="E672" s="102"/>
      <c r="F672" s="104">
        <v>38.27</v>
      </c>
      <c r="G672" s="102"/>
      <c r="H672" s="102"/>
      <c r="I672" s="102"/>
      <c r="J672" s="102"/>
      <c r="K672" s="102"/>
      <c r="L672" s="102"/>
      <c r="M672" s="102"/>
    </row>
    <row r="673" spans="1:13" ht="12.75">
      <c r="A673" s="102"/>
      <c r="B673" s="102"/>
      <c r="C673" s="102"/>
      <c r="D673" s="103" t="s">
        <v>1351</v>
      </c>
      <c r="E673" s="102"/>
      <c r="F673" s="104">
        <v>74.3</v>
      </c>
      <c r="G673" s="102"/>
      <c r="H673" s="102"/>
      <c r="I673" s="102"/>
      <c r="J673" s="102"/>
      <c r="K673" s="102"/>
      <c r="L673" s="102"/>
      <c r="M673" s="102"/>
    </row>
    <row r="674" spans="1:13" ht="12.75">
      <c r="A674" s="102"/>
      <c r="B674" s="102"/>
      <c r="C674" s="102"/>
      <c r="D674" s="103" t="s">
        <v>1352</v>
      </c>
      <c r="E674" s="102"/>
      <c r="F674" s="104">
        <v>0</v>
      </c>
      <c r="G674" s="102"/>
      <c r="H674" s="102"/>
      <c r="I674" s="102"/>
      <c r="J674" s="102"/>
      <c r="K674" s="102"/>
      <c r="L674" s="102"/>
      <c r="M674" s="102"/>
    </row>
    <row r="675" spans="1:13" ht="12.75">
      <c r="A675" s="102"/>
      <c r="B675" s="102"/>
      <c r="C675" s="102"/>
      <c r="D675" s="103" t="s">
        <v>1353</v>
      </c>
      <c r="E675" s="102"/>
      <c r="F675" s="104">
        <v>2.6</v>
      </c>
      <c r="G675" s="102"/>
      <c r="H675" s="102"/>
      <c r="I675" s="102"/>
      <c r="J675" s="102"/>
      <c r="K675" s="102"/>
      <c r="L675" s="102"/>
      <c r="M675" s="102"/>
    </row>
    <row r="676" spans="1:13" ht="12.75">
      <c r="A676" s="102"/>
      <c r="B676" s="102"/>
      <c r="C676" s="102"/>
      <c r="D676" s="103" t="s">
        <v>1354</v>
      </c>
      <c r="E676" s="102"/>
      <c r="F676" s="104">
        <v>17.77</v>
      </c>
      <c r="G676" s="102"/>
      <c r="H676" s="102"/>
      <c r="I676" s="102"/>
      <c r="J676" s="102"/>
      <c r="K676" s="102"/>
      <c r="L676" s="102"/>
      <c r="M676" s="102"/>
    </row>
    <row r="677" spans="1:13" ht="12.75">
      <c r="A677" s="102"/>
      <c r="B677" s="102"/>
      <c r="C677" s="102"/>
      <c r="D677" s="103" t="s">
        <v>1355</v>
      </c>
      <c r="E677" s="102"/>
      <c r="F677" s="104">
        <v>75.38</v>
      </c>
      <c r="G677" s="102"/>
      <c r="H677" s="102"/>
      <c r="I677" s="102"/>
      <c r="J677" s="102"/>
      <c r="K677" s="102"/>
      <c r="L677" s="102"/>
      <c r="M677" s="102"/>
    </row>
    <row r="678" spans="1:13" ht="12.75">
      <c r="A678" s="102"/>
      <c r="B678" s="102"/>
      <c r="C678" s="102"/>
      <c r="D678" s="103" t="s">
        <v>851</v>
      </c>
      <c r="E678" s="102"/>
      <c r="F678" s="104">
        <v>-11.76</v>
      </c>
      <c r="G678" s="102"/>
      <c r="H678" s="102"/>
      <c r="I678" s="102"/>
      <c r="J678" s="102"/>
      <c r="K678" s="102"/>
      <c r="L678" s="102"/>
      <c r="M678" s="102"/>
    </row>
    <row r="679" spans="1:13" ht="12.75">
      <c r="A679" s="102"/>
      <c r="B679" s="102"/>
      <c r="C679" s="102"/>
      <c r="D679" s="103" t="s">
        <v>1356</v>
      </c>
      <c r="E679" s="102"/>
      <c r="F679" s="104">
        <v>38.29</v>
      </c>
      <c r="G679" s="102"/>
      <c r="H679" s="102"/>
      <c r="I679" s="102"/>
      <c r="J679" s="102"/>
      <c r="K679" s="102"/>
      <c r="L679" s="102"/>
      <c r="M679" s="102"/>
    </row>
    <row r="680" spans="1:13" ht="12.75">
      <c r="A680" s="102"/>
      <c r="B680" s="102"/>
      <c r="C680" s="102"/>
      <c r="D680" s="103" t="s">
        <v>1357</v>
      </c>
      <c r="E680" s="102"/>
      <c r="F680" s="104">
        <v>2.39</v>
      </c>
      <c r="G680" s="102"/>
      <c r="H680" s="102"/>
      <c r="I680" s="102"/>
      <c r="J680" s="102"/>
      <c r="K680" s="102"/>
      <c r="L680" s="102"/>
      <c r="M680" s="102"/>
    </row>
    <row r="681" spans="1:13" ht="12.75">
      <c r="A681" s="102"/>
      <c r="B681" s="102"/>
      <c r="C681" s="102"/>
      <c r="D681" s="103" t="s">
        <v>1358</v>
      </c>
      <c r="E681" s="102"/>
      <c r="F681" s="104">
        <v>1.55</v>
      </c>
      <c r="G681" s="102"/>
      <c r="H681" s="102"/>
      <c r="I681" s="102"/>
      <c r="J681" s="102"/>
      <c r="K681" s="102"/>
      <c r="L681" s="102"/>
      <c r="M681" s="102"/>
    </row>
    <row r="682" spans="1:13" ht="12.75">
      <c r="A682" s="102"/>
      <c r="B682" s="102"/>
      <c r="C682" s="102"/>
      <c r="D682" s="103" t="s">
        <v>1359</v>
      </c>
      <c r="E682" s="102"/>
      <c r="F682" s="104">
        <v>11.26</v>
      </c>
      <c r="G682" s="102"/>
      <c r="H682" s="102"/>
      <c r="I682" s="102"/>
      <c r="J682" s="102"/>
      <c r="K682" s="102"/>
      <c r="L682" s="102"/>
      <c r="M682" s="102"/>
    </row>
    <row r="683" spans="1:13" ht="12.75">
      <c r="A683" s="102"/>
      <c r="B683" s="102"/>
      <c r="C683" s="102"/>
      <c r="D683" s="103" t="s">
        <v>1360</v>
      </c>
      <c r="E683" s="102"/>
      <c r="F683" s="104">
        <v>3.4</v>
      </c>
      <c r="G683" s="102"/>
      <c r="H683" s="102"/>
      <c r="I683" s="102"/>
      <c r="J683" s="102"/>
      <c r="K683" s="102"/>
      <c r="L683" s="102"/>
      <c r="M683" s="102"/>
    </row>
    <row r="684" spans="1:13" ht="12.75">
      <c r="A684" s="102"/>
      <c r="B684" s="102"/>
      <c r="C684" s="102"/>
      <c r="D684" s="103" t="s">
        <v>1361</v>
      </c>
      <c r="E684" s="102"/>
      <c r="F684" s="104">
        <v>3.51</v>
      </c>
      <c r="G684" s="102"/>
      <c r="H684" s="102"/>
      <c r="I684" s="102"/>
      <c r="J684" s="102"/>
      <c r="K684" s="102"/>
      <c r="L684" s="102"/>
      <c r="M684" s="102"/>
    </row>
    <row r="685" spans="1:13" ht="12.75">
      <c r="A685" s="102"/>
      <c r="B685" s="102"/>
      <c r="C685" s="102"/>
      <c r="D685" s="103" t="s">
        <v>1362</v>
      </c>
      <c r="E685" s="102"/>
      <c r="F685" s="104">
        <v>36.57</v>
      </c>
      <c r="G685" s="102"/>
      <c r="H685" s="102"/>
      <c r="I685" s="102"/>
      <c r="J685" s="102"/>
      <c r="K685" s="102"/>
      <c r="L685" s="102"/>
      <c r="M685" s="102"/>
    </row>
    <row r="686" spans="1:48" ht="12.75">
      <c r="A686" s="99" t="s">
        <v>234</v>
      </c>
      <c r="B686" s="99" t="s">
        <v>406</v>
      </c>
      <c r="C686" s="99" t="s">
        <v>654</v>
      </c>
      <c r="D686" s="99" t="s">
        <v>1363</v>
      </c>
      <c r="E686" s="99" t="s">
        <v>1640</v>
      </c>
      <c r="F686" s="100">
        <v>531.85</v>
      </c>
      <c r="G686" s="100">
        <v>0</v>
      </c>
      <c r="H686" s="100">
        <f>F686*AE686</f>
        <v>0</v>
      </c>
      <c r="I686" s="100">
        <f>J686-H686</f>
        <v>0</v>
      </c>
      <c r="J686" s="100">
        <f>F686*G686</f>
        <v>0</v>
      </c>
      <c r="K686" s="100">
        <v>0.00046</v>
      </c>
      <c r="L686" s="100">
        <f>F686*K686</f>
        <v>0.244651</v>
      </c>
      <c r="M686" s="101" t="s">
        <v>1667</v>
      </c>
      <c r="P686" s="14">
        <f>IF(AG686="5",J686,0)</f>
        <v>0</v>
      </c>
      <c r="R686" s="14">
        <f>IF(AG686="1",H686,0)</f>
        <v>0</v>
      </c>
      <c r="S686" s="14">
        <f>IF(AG686="1",I686,0)</f>
        <v>0</v>
      </c>
      <c r="T686" s="14">
        <f>IF(AG686="7",H686,0)</f>
        <v>0</v>
      </c>
      <c r="U686" s="14">
        <f>IF(AG686="7",I686,0)</f>
        <v>0</v>
      </c>
      <c r="V686" s="14">
        <f>IF(AG686="2",H686,0)</f>
        <v>0</v>
      </c>
      <c r="W686" s="14">
        <f>IF(AG686="2",I686,0)</f>
        <v>0</v>
      </c>
      <c r="X686" s="14">
        <f>IF(AG686="0",J686,0)</f>
        <v>0</v>
      </c>
      <c r="Y686" s="8" t="s">
        <v>406</v>
      </c>
      <c r="Z686" s="5">
        <f>IF(AD686=0,J686,0)</f>
        <v>0</v>
      </c>
      <c r="AA686" s="5">
        <f>IF(AD686=15,J686,0)</f>
        <v>0</v>
      </c>
      <c r="AB686" s="5">
        <f>IF(AD686=21,J686,0)</f>
        <v>0</v>
      </c>
      <c r="AD686" s="14">
        <v>15</v>
      </c>
      <c r="AE686" s="14">
        <f>G686*0.355599927391541</f>
        <v>0</v>
      </c>
      <c r="AF686" s="14">
        <f>G686*(1-0.355599927391541)</f>
        <v>0</v>
      </c>
      <c r="AG686" s="10" t="s">
        <v>13</v>
      </c>
      <c r="AM686" s="14">
        <f>F686*AE686</f>
        <v>0</v>
      </c>
      <c r="AN686" s="14">
        <f>F686*AF686</f>
        <v>0</v>
      </c>
      <c r="AO686" s="15" t="s">
        <v>1711</v>
      </c>
      <c r="AP686" s="15" t="s">
        <v>1737</v>
      </c>
      <c r="AQ686" s="8" t="s">
        <v>1769</v>
      </c>
      <c r="AS686" s="14">
        <f>AM686+AN686</f>
        <v>0</v>
      </c>
      <c r="AT686" s="14">
        <f>G686/(100-AU686)*100</f>
        <v>0</v>
      </c>
      <c r="AU686" s="14">
        <v>0</v>
      </c>
      <c r="AV686" s="14">
        <f>L686</f>
        <v>0.244651</v>
      </c>
    </row>
    <row r="687" spans="1:37" ht="12.75">
      <c r="A687" s="93"/>
      <c r="B687" s="94" t="s">
        <v>406</v>
      </c>
      <c r="C687" s="94" t="s">
        <v>655</v>
      </c>
      <c r="D687" s="95" t="s">
        <v>1364</v>
      </c>
      <c r="E687" s="96"/>
      <c r="F687" s="96"/>
      <c r="G687" s="96"/>
      <c r="H687" s="97">
        <f>SUM(H688:H688)</f>
        <v>0</v>
      </c>
      <c r="I687" s="97">
        <f>SUM(I688:I688)</f>
        <v>0</v>
      </c>
      <c r="J687" s="97">
        <f>H687+I687</f>
        <v>0</v>
      </c>
      <c r="K687" s="98"/>
      <c r="L687" s="97">
        <f>SUM(L688:L688)</f>
        <v>0.0244</v>
      </c>
      <c r="M687" s="98"/>
      <c r="Y687" s="8" t="s">
        <v>406</v>
      </c>
      <c r="AI687" s="16">
        <f>SUM(Z688:Z688)</f>
        <v>0</v>
      </c>
      <c r="AJ687" s="16">
        <f>SUM(AA688:AA688)</f>
        <v>0</v>
      </c>
      <c r="AK687" s="16">
        <f>SUM(AB688:AB688)</f>
        <v>0</v>
      </c>
    </row>
    <row r="688" spans="1:48" ht="12.75">
      <c r="A688" s="99" t="s">
        <v>235</v>
      </c>
      <c r="B688" s="99" t="s">
        <v>406</v>
      </c>
      <c r="C688" s="99" t="s">
        <v>656</v>
      </c>
      <c r="D688" s="99" t="s">
        <v>1365</v>
      </c>
      <c r="E688" s="99" t="s">
        <v>1641</v>
      </c>
      <c r="F688" s="100">
        <v>2</v>
      </c>
      <c r="G688" s="100">
        <v>0</v>
      </c>
      <c r="H688" s="100">
        <f>F688*AE688</f>
        <v>0</v>
      </c>
      <c r="I688" s="100">
        <f>J688-H688</f>
        <v>0</v>
      </c>
      <c r="J688" s="100">
        <f>F688*G688</f>
        <v>0</v>
      </c>
      <c r="K688" s="100">
        <v>0.0122</v>
      </c>
      <c r="L688" s="100">
        <f>F688*K688</f>
        <v>0.0244</v>
      </c>
      <c r="M688" s="101" t="s">
        <v>1667</v>
      </c>
      <c r="P688" s="14">
        <f>IF(AG688="5",J688,0)</f>
        <v>0</v>
      </c>
      <c r="R688" s="14">
        <f>IF(AG688="1",H688,0)</f>
        <v>0</v>
      </c>
      <c r="S688" s="14">
        <f>IF(AG688="1",I688,0)</f>
        <v>0</v>
      </c>
      <c r="T688" s="14">
        <f>IF(AG688="7",H688,0)</f>
        <v>0</v>
      </c>
      <c r="U688" s="14">
        <f>IF(AG688="7",I688,0)</f>
        <v>0</v>
      </c>
      <c r="V688" s="14">
        <f>IF(AG688="2",H688,0)</f>
        <v>0</v>
      </c>
      <c r="W688" s="14">
        <f>IF(AG688="2",I688,0)</f>
        <v>0</v>
      </c>
      <c r="X688" s="14">
        <f>IF(AG688="0",J688,0)</f>
        <v>0</v>
      </c>
      <c r="Y688" s="8" t="s">
        <v>406</v>
      </c>
      <c r="Z688" s="5">
        <f>IF(AD688=0,J688,0)</f>
        <v>0</v>
      </c>
      <c r="AA688" s="5">
        <f>IF(AD688=15,J688,0)</f>
        <v>0</v>
      </c>
      <c r="AB688" s="5">
        <f>IF(AD688=21,J688,0)</f>
        <v>0</v>
      </c>
      <c r="AD688" s="14">
        <v>15</v>
      </c>
      <c r="AE688" s="14">
        <f>G688*0.90336134087143</f>
        <v>0</v>
      </c>
      <c r="AF688" s="14">
        <f>G688*(1-0.90336134087143)</f>
        <v>0</v>
      </c>
      <c r="AG688" s="10" t="s">
        <v>13</v>
      </c>
      <c r="AM688" s="14">
        <f>F688*AE688</f>
        <v>0</v>
      </c>
      <c r="AN688" s="14">
        <f>F688*AF688</f>
        <v>0</v>
      </c>
      <c r="AO688" s="15" t="s">
        <v>1712</v>
      </c>
      <c r="AP688" s="15" t="s">
        <v>1737</v>
      </c>
      <c r="AQ688" s="8" t="s">
        <v>1769</v>
      </c>
      <c r="AS688" s="14">
        <f>AM688+AN688</f>
        <v>0</v>
      </c>
      <c r="AT688" s="14">
        <f>G688/(100-AU688)*100</f>
        <v>0</v>
      </c>
      <c r="AU688" s="14">
        <v>0</v>
      </c>
      <c r="AV688" s="14">
        <f>L688</f>
        <v>0.0244</v>
      </c>
    </row>
    <row r="689" spans="1:37" ht="12.75">
      <c r="A689" s="93"/>
      <c r="B689" s="94" t="s">
        <v>406</v>
      </c>
      <c r="C689" s="94" t="s">
        <v>100</v>
      </c>
      <c r="D689" s="95" t="s">
        <v>1366</v>
      </c>
      <c r="E689" s="96"/>
      <c r="F689" s="96"/>
      <c r="G689" s="96"/>
      <c r="H689" s="97">
        <f>SUM(H690:H694)</f>
        <v>0</v>
      </c>
      <c r="I689" s="97">
        <f>SUM(I690:I694)</f>
        <v>0</v>
      </c>
      <c r="J689" s="97">
        <f>H689+I689</f>
        <v>0</v>
      </c>
      <c r="K689" s="98"/>
      <c r="L689" s="97">
        <f>SUM(L690:L694)</f>
        <v>5.207472</v>
      </c>
      <c r="M689" s="98"/>
      <c r="Y689" s="8" t="s">
        <v>406</v>
      </c>
      <c r="AI689" s="16">
        <f>SUM(Z690:Z694)</f>
        <v>0</v>
      </c>
      <c r="AJ689" s="16">
        <f>SUM(AA690:AA694)</f>
        <v>0</v>
      </c>
      <c r="AK689" s="16">
        <f>SUM(AB690:AB694)</f>
        <v>0</v>
      </c>
    </row>
    <row r="690" spans="1:48" ht="12.75">
      <c r="A690" s="99" t="s">
        <v>236</v>
      </c>
      <c r="B690" s="99" t="s">
        <v>406</v>
      </c>
      <c r="C690" s="99" t="s">
        <v>657</v>
      </c>
      <c r="D690" s="99" t="s">
        <v>1367</v>
      </c>
      <c r="E690" s="99" t="s">
        <v>1640</v>
      </c>
      <c r="F690" s="100">
        <v>269.12</v>
      </c>
      <c r="G690" s="100">
        <v>0</v>
      </c>
      <c r="H690" s="100">
        <f>F690*AE690</f>
        <v>0</v>
      </c>
      <c r="I690" s="100">
        <f>J690-H690</f>
        <v>0</v>
      </c>
      <c r="J690" s="100">
        <f>F690*G690</f>
        <v>0</v>
      </c>
      <c r="K690" s="100">
        <v>0.01838</v>
      </c>
      <c r="L690" s="100">
        <f>F690*K690</f>
        <v>4.9464256</v>
      </c>
      <c r="M690" s="101" t="s">
        <v>1667</v>
      </c>
      <c r="P690" s="14">
        <f>IF(AG690="5",J690,0)</f>
        <v>0</v>
      </c>
      <c r="R690" s="14">
        <f>IF(AG690="1",H690,0)</f>
        <v>0</v>
      </c>
      <c r="S690" s="14">
        <f>IF(AG690="1",I690,0)</f>
        <v>0</v>
      </c>
      <c r="T690" s="14">
        <f>IF(AG690="7",H690,0)</f>
        <v>0</v>
      </c>
      <c r="U690" s="14">
        <f>IF(AG690="7",I690,0)</f>
        <v>0</v>
      </c>
      <c r="V690" s="14">
        <f>IF(AG690="2",H690,0)</f>
        <v>0</v>
      </c>
      <c r="W690" s="14">
        <f>IF(AG690="2",I690,0)</f>
        <v>0</v>
      </c>
      <c r="X690" s="14">
        <f>IF(AG690="0",J690,0)</f>
        <v>0</v>
      </c>
      <c r="Y690" s="8" t="s">
        <v>406</v>
      </c>
      <c r="Z690" s="5">
        <f>IF(AD690=0,J690,0)</f>
        <v>0</v>
      </c>
      <c r="AA690" s="5">
        <f>IF(AD690=15,J690,0)</f>
        <v>0</v>
      </c>
      <c r="AB690" s="5">
        <f>IF(AD690=21,J690,0)</f>
        <v>0</v>
      </c>
      <c r="AD690" s="14">
        <v>15</v>
      </c>
      <c r="AE690" s="14">
        <f>G690*0.00058027079303675</f>
        <v>0</v>
      </c>
      <c r="AF690" s="14">
        <f>G690*(1-0.00058027079303675)</f>
        <v>0</v>
      </c>
      <c r="AG690" s="10" t="s">
        <v>7</v>
      </c>
      <c r="AM690" s="14">
        <f>F690*AE690</f>
        <v>0</v>
      </c>
      <c r="AN690" s="14">
        <f>F690*AF690</f>
        <v>0</v>
      </c>
      <c r="AO690" s="15" t="s">
        <v>1713</v>
      </c>
      <c r="AP690" s="15" t="s">
        <v>1738</v>
      </c>
      <c r="AQ690" s="8" t="s">
        <v>1769</v>
      </c>
      <c r="AS690" s="14">
        <f>AM690+AN690</f>
        <v>0</v>
      </c>
      <c r="AT690" s="14">
        <f>G690/(100-AU690)*100</f>
        <v>0</v>
      </c>
      <c r="AU690" s="14">
        <v>0</v>
      </c>
      <c r="AV690" s="14">
        <f>L690</f>
        <v>4.9464256</v>
      </c>
    </row>
    <row r="691" spans="1:13" ht="12.75">
      <c r="A691" s="102"/>
      <c r="B691" s="102"/>
      <c r="C691" s="102"/>
      <c r="D691" s="103" t="s">
        <v>1368</v>
      </c>
      <c r="E691" s="102"/>
      <c r="F691" s="104">
        <v>150.7</v>
      </c>
      <c r="G691" s="102"/>
      <c r="H691" s="102"/>
      <c r="I691" s="102"/>
      <c r="J691" s="102"/>
      <c r="K691" s="102"/>
      <c r="L691" s="102"/>
      <c r="M691" s="102"/>
    </row>
    <row r="692" spans="1:13" ht="12.75">
      <c r="A692" s="102"/>
      <c r="B692" s="102"/>
      <c r="C692" s="102"/>
      <c r="D692" s="103" t="s">
        <v>1369</v>
      </c>
      <c r="E692" s="102"/>
      <c r="F692" s="104">
        <v>118.42</v>
      </c>
      <c r="G692" s="102"/>
      <c r="H692" s="102"/>
      <c r="I692" s="102"/>
      <c r="J692" s="102"/>
      <c r="K692" s="102"/>
      <c r="L692" s="102"/>
      <c r="M692" s="102"/>
    </row>
    <row r="693" spans="1:48" ht="12.75">
      <c r="A693" s="99" t="s">
        <v>237</v>
      </c>
      <c r="B693" s="99" t="s">
        <v>406</v>
      </c>
      <c r="C693" s="99" t="s">
        <v>658</v>
      </c>
      <c r="D693" s="99" t="s">
        <v>1370</v>
      </c>
      <c r="E693" s="99" t="s">
        <v>1640</v>
      </c>
      <c r="F693" s="100">
        <v>269.12</v>
      </c>
      <c r="G693" s="100">
        <v>0</v>
      </c>
      <c r="H693" s="100">
        <f>F693*AE693</f>
        <v>0</v>
      </c>
      <c r="I693" s="100">
        <f>J693-H693</f>
        <v>0</v>
      </c>
      <c r="J693" s="100">
        <f>F693*G693</f>
        <v>0</v>
      </c>
      <c r="K693" s="100">
        <v>0.00097</v>
      </c>
      <c r="L693" s="100">
        <f>F693*K693</f>
        <v>0.2610464</v>
      </c>
      <c r="M693" s="101" t="s">
        <v>1667</v>
      </c>
      <c r="P693" s="14">
        <f>IF(AG693="5",J693,0)</f>
        <v>0</v>
      </c>
      <c r="R693" s="14">
        <f>IF(AG693="1",H693,0)</f>
        <v>0</v>
      </c>
      <c r="S693" s="14">
        <f>IF(AG693="1",I693,0)</f>
        <v>0</v>
      </c>
      <c r="T693" s="14">
        <f>IF(AG693="7",H693,0)</f>
        <v>0</v>
      </c>
      <c r="U693" s="14">
        <f>IF(AG693="7",I693,0)</f>
        <v>0</v>
      </c>
      <c r="V693" s="14">
        <f>IF(AG693="2",H693,0)</f>
        <v>0</v>
      </c>
      <c r="W693" s="14">
        <f>IF(AG693="2",I693,0)</f>
        <v>0</v>
      </c>
      <c r="X693" s="14">
        <f>IF(AG693="0",J693,0)</f>
        <v>0</v>
      </c>
      <c r="Y693" s="8" t="s">
        <v>406</v>
      </c>
      <c r="Z693" s="5">
        <f>IF(AD693=0,J693,0)</f>
        <v>0</v>
      </c>
      <c r="AA693" s="5">
        <f>IF(AD693=15,J693,0)</f>
        <v>0</v>
      </c>
      <c r="AB693" s="5">
        <f>IF(AD693=21,J693,0)</f>
        <v>0</v>
      </c>
      <c r="AD693" s="14">
        <v>15</v>
      </c>
      <c r="AE693" s="14">
        <f>G693*0.944876985362815</f>
        <v>0</v>
      </c>
      <c r="AF693" s="14">
        <f>G693*(1-0.944876985362815)</f>
        <v>0</v>
      </c>
      <c r="AG693" s="10" t="s">
        <v>7</v>
      </c>
      <c r="AM693" s="14">
        <f>F693*AE693</f>
        <v>0</v>
      </c>
      <c r="AN693" s="14">
        <f>F693*AF693</f>
        <v>0</v>
      </c>
      <c r="AO693" s="15" t="s">
        <v>1713</v>
      </c>
      <c r="AP693" s="15" t="s">
        <v>1738</v>
      </c>
      <c r="AQ693" s="8" t="s">
        <v>1769</v>
      </c>
      <c r="AS693" s="14">
        <f>AM693+AN693</f>
        <v>0</v>
      </c>
      <c r="AT693" s="14">
        <f>G693/(100-AU693)*100</f>
        <v>0</v>
      </c>
      <c r="AU693" s="14">
        <v>0</v>
      </c>
      <c r="AV693" s="14">
        <f>L693</f>
        <v>0.2610464</v>
      </c>
    </row>
    <row r="694" spans="1:48" ht="12.75">
      <c r="A694" s="99" t="s">
        <v>238</v>
      </c>
      <c r="B694" s="99" t="s">
        <v>406</v>
      </c>
      <c r="C694" s="99" t="s">
        <v>659</v>
      </c>
      <c r="D694" s="99" t="s">
        <v>1371</v>
      </c>
      <c r="E694" s="99" t="s">
        <v>1640</v>
      </c>
      <c r="F694" s="100">
        <v>269.12</v>
      </c>
      <c r="G694" s="100">
        <v>0</v>
      </c>
      <c r="H694" s="100">
        <f>F694*AE694</f>
        <v>0</v>
      </c>
      <c r="I694" s="100">
        <f>J694-H694</f>
        <v>0</v>
      </c>
      <c r="J694" s="100">
        <f>F694*G694</f>
        <v>0</v>
      </c>
      <c r="K694" s="100">
        <v>0</v>
      </c>
      <c r="L694" s="100">
        <f>F694*K694</f>
        <v>0</v>
      </c>
      <c r="M694" s="101" t="s">
        <v>1667</v>
      </c>
      <c r="P694" s="14">
        <f>IF(AG694="5",J694,0)</f>
        <v>0</v>
      </c>
      <c r="R694" s="14">
        <f>IF(AG694="1",H694,0)</f>
        <v>0</v>
      </c>
      <c r="S694" s="14">
        <f>IF(AG694="1",I694,0)</f>
        <v>0</v>
      </c>
      <c r="T694" s="14">
        <f>IF(AG694="7",H694,0)</f>
        <v>0</v>
      </c>
      <c r="U694" s="14">
        <f>IF(AG694="7",I694,0)</f>
        <v>0</v>
      </c>
      <c r="V694" s="14">
        <f>IF(AG694="2",H694,0)</f>
        <v>0</v>
      </c>
      <c r="W694" s="14">
        <f>IF(AG694="2",I694,0)</f>
        <v>0</v>
      </c>
      <c r="X694" s="14">
        <f>IF(AG694="0",J694,0)</f>
        <v>0</v>
      </c>
      <c r="Y694" s="8" t="s">
        <v>406</v>
      </c>
      <c r="Z694" s="5">
        <f>IF(AD694=0,J694,0)</f>
        <v>0</v>
      </c>
      <c r="AA694" s="5">
        <f>IF(AD694=15,J694,0)</f>
        <v>0</v>
      </c>
      <c r="AB694" s="5">
        <f>IF(AD694=21,J694,0)</f>
        <v>0</v>
      </c>
      <c r="AD694" s="14">
        <v>15</v>
      </c>
      <c r="AE694" s="14">
        <f>G694*0</f>
        <v>0</v>
      </c>
      <c r="AF694" s="14">
        <f>G694*(1-0)</f>
        <v>0</v>
      </c>
      <c r="AG694" s="10" t="s">
        <v>7</v>
      </c>
      <c r="AM694" s="14">
        <f>F694*AE694</f>
        <v>0</v>
      </c>
      <c r="AN694" s="14">
        <f>F694*AF694</f>
        <v>0</v>
      </c>
      <c r="AO694" s="15" t="s">
        <v>1713</v>
      </c>
      <c r="AP694" s="15" t="s">
        <v>1738</v>
      </c>
      <c r="AQ694" s="8" t="s">
        <v>1769</v>
      </c>
      <c r="AS694" s="14">
        <f>AM694+AN694</f>
        <v>0</v>
      </c>
      <c r="AT694" s="14">
        <f>G694/(100-AU694)*100</f>
        <v>0</v>
      </c>
      <c r="AU694" s="14">
        <v>0</v>
      </c>
      <c r="AV694" s="14">
        <f>L694</f>
        <v>0</v>
      </c>
    </row>
    <row r="695" spans="1:37" ht="12.75">
      <c r="A695" s="93"/>
      <c r="B695" s="94" t="s">
        <v>406</v>
      </c>
      <c r="C695" s="94" t="s">
        <v>101</v>
      </c>
      <c r="D695" s="95" t="s">
        <v>1372</v>
      </c>
      <c r="E695" s="96"/>
      <c r="F695" s="96"/>
      <c r="G695" s="96"/>
      <c r="H695" s="97">
        <f>SUM(H696:H699)</f>
        <v>0</v>
      </c>
      <c r="I695" s="97">
        <f>SUM(I696:I699)</f>
        <v>0</v>
      </c>
      <c r="J695" s="97">
        <f>H695+I695</f>
        <v>0</v>
      </c>
      <c r="K695" s="98"/>
      <c r="L695" s="97">
        <f>SUM(L696:L699)</f>
        <v>0.007978800000000001</v>
      </c>
      <c r="M695" s="98"/>
      <c r="Y695" s="8" t="s">
        <v>406</v>
      </c>
      <c r="AI695" s="16">
        <f>SUM(Z696:Z699)</f>
        <v>0</v>
      </c>
      <c r="AJ695" s="16">
        <f>SUM(AA696:AA699)</f>
        <v>0</v>
      </c>
      <c r="AK695" s="16">
        <f>SUM(AB696:AB699)</f>
        <v>0</v>
      </c>
    </row>
    <row r="696" spans="1:48" ht="12.75">
      <c r="A696" s="99" t="s">
        <v>239</v>
      </c>
      <c r="B696" s="99" t="s">
        <v>406</v>
      </c>
      <c r="C696" s="99" t="s">
        <v>660</v>
      </c>
      <c r="D696" s="99" t="s">
        <v>1373</v>
      </c>
      <c r="E696" s="99" t="s">
        <v>1640</v>
      </c>
      <c r="F696" s="100">
        <v>199.47</v>
      </c>
      <c r="G696" s="100">
        <v>0</v>
      </c>
      <c r="H696" s="100">
        <f>F696*AE696</f>
        <v>0</v>
      </c>
      <c r="I696" s="100">
        <f>J696-H696</f>
        <v>0</v>
      </c>
      <c r="J696" s="100">
        <f>F696*G696</f>
        <v>0</v>
      </c>
      <c r="K696" s="100">
        <v>4E-05</v>
      </c>
      <c r="L696" s="100">
        <f>F696*K696</f>
        <v>0.007978800000000001</v>
      </c>
      <c r="M696" s="101" t="s">
        <v>1667</v>
      </c>
      <c r="P696" s="14">
        <f>IF(AG696="5",J696,0)</f>
        <v>0</v>
      </c>
      <c r="R696" s="14">
        <f>IF(AG696="1",H696,0)</f>
        <v>0</v>
      </c>
      <c r="S696" s="14">
        <f>IF(AG696="1",I696,0)</f>
        <v>0</v>
      </c>
      <c r="T696" s="14">
        <f>IF(AG696="7",H696,0)</f>
        <v>0</v>
      </c>
      <c r="U696" s="14">
        <f>IF(AG696="7",I696,0)</f>
        <v>0</v>
      </c>
      <c r="V696" s="14">
        <f>IF(AG696="2",H696,0)</f>
        <v>0</v>
      </c>
      <c r="W696" s="14">
        <f>IF(AG696="2",I696,0)</f>
        <v>0</v>
      </c>
      <c r="X696" s="14">
        <f>IF(AG696="0",J696,0)</f>
        <v>0</v>
      </c>
      <c r="Y696" s="8" t="s">
        <v>406</v>
      </c>
      <c r="Z696" s="5">
        <f>IF(AD696=0,J696,0)</f>
        <v>0</v>
      </c>
      <c r="AA696" s="5">
        <f>IF(AD696=15,J696,0)</f>
        <v>0</v>
      </c>
      <c r="AB696" s="5">
        <f>IF(AD696=21,J696,0)</f>
        <v>0</v>
      </c>
      <c r="AD696" s="14">
        <v>15</v>
      </c>
      <c r="AE696" s="14">
        <f>G696*0.0165317919075145</f>
        <v>0</v>
      </c>
      <c r="AF696" s="14">
        <f>G696*(1-0.0165317919075145)</f>
        <v>0</v>
      </c>
      <c r="AG696" s="10" t="s">
        <v>7</v>
      </c>
      <c r="AM696" s="14">
        <f>F696*AE696</f>
        <v>0</v>
      </c>
      <c r="AN696" s="14">
        <f>F696*AF696</f>
        <v>0</v>
      </c>
      <c r="AO696" s="15" t="s">
        <v>1714</v>
      </c>
      <c r="AP696" s="15" t="s">
        <v>1738</v>
      </c>
      <c r="AQ696" s="8" t="s">
        <v>1769</v>
      </c>
      <c r="AS696" s="14">
        <f>AM696+AN696</f>
        <v>0</v>
      </c>
      <c r="AT696" s="14">
        <f>G696/(100-AU696)*100</f>
        <v>0</v>
      </c>
      <c r="AU696" s="14">
        <v>0</v>
      </c>
      <c r="AV696" s="14">
        <f>L696</f>
        <v>0.007978800000000001</v>
      </c>
    </row>
    <row r="697" spans="1:13" ht="12.75">
      <c r="A697" s="102"/>
      <c r="B697" s="102"/>
      <c r="C697" s="102"/>
      <c r="D697" s="103" t="s">
        <v>1374</v>
      </c>
      <c r="E697" s="102"/>
      <c r="F697" s="104">
        <v>199.47</v>
      </c>
      <c r="G697" s="102"/>
      <c r="H697" s="102"/>
      <c r="I697" s="102"/>
      <c r="J697" s="102"/>
      <c r="K697" s="102"/>
      <c r="L697" s="102"/>
      <c r="M697" s="102"/>
    </row>
    <row r="698" spans="1:48" ht="12.75">
      <c r="A698" s="99" t="s">
        <v>240</v>
      </c>
      <c r="B698" s="99" t="s">
        <v>406</v>
      </c>
      <c r="C698" s="99" t="s">
        <v>661</v>
      </c>
      <c r="D698" s="99" t="s">
        <v>1375</v>
      </c>
      <c r="E698" s="99" t="s">
        <v>1644</v>
      </c>
      <c r="F698" s="100">
        <v>1</v>
      </c>
      <c r="G698" s="100">
        <v>0</v>
      </c>
      <c r="H698" s="100">
        <f>F698*AE698</f>
        <v>0</v>
      </c>
      <c r="I698" s="100">
        <f>J698-H698</f>
        <v>0</v>
      </c>
      <c r="J698" s="100">
        <f>F698*G698</f>
        <v>0</v>
      </c>
      <c r="K698" s="100">
        <v>0</v>
      </c>
      <c r="L698" s="100">
        <f>F698*K698</f>
        <v>0</v>
      </c>
      <c r="M698" s="101" t="s">
        <v>1670</v>
      </c>
      <c r="P698" s="14">
        <f>IF(AG698="5",J698,0)</f>
        <v>0</v>
      </c>
      <c r="R698" s="14">
        <f>IF(AG698="1",H698,0)</f>
        <v>0</v>
      </c>
      <c r="S698" s="14">
        <f>IF(AG698="1",I698,0)</f>
        <v>0</v>
      </c>
      <c r="T698" s="14">
        <f>IF(AG698="7",H698,0)</f>
        <v>0</v>
      </c>
      <c r="U698" s="14">
        <f>IF(AG698="7",I698,0)</f>
        <v>0</v>
      </c>
      <c r="V698" s="14">
        <f>IF(AG698="2",H698,0)</f>
        <v>0</v>
      </c>
      <c r="W698" s="14">
        <f>IF(AG698="2",I698,0)</f>
        <v>0</v>
      </c>
      <c r="X698" s="14">
        <f>IF(AG698="0",J698,0)</f>
        <v>0</v>
      </c>
      <c r="Y698" s="8" t="s">
        <v>406</v>
      </c>
      <c r="Z698" s="5">
        <f>IF(AD698=0,J698,0)</f>
        <v>0</v>
      </c>
      <c r="AA698" s="5">
        <f>IF(AD698=15,J698,0)</f>
        <v>0</v>
      </c>
      <c r="AB698" s="5">
        <f>IF(AD698=21,J698,0)</f>
        <v>0</v>
      </c>
      <c r="AD698" s="14">
        <v>15</v>
      </c>
      <c r="AE698" s="14">
        <f>G698*0</f>
        <v>0</v>
      </c>
      <c r="AF698" s="14">
        <f>G698*(1-0)</f>
        <v>0</v>
      </c>
      <c r="AG698" s="10" t="s">
        <v>7</v>
      </c>
      <c r="AM698" s="14">
        <f>F698*AE698</f>
        <v>0</v>
      </c>
      <c r="AN698" s="14">
        <f>F698*AF698</f>
        <v>0</v>
      </c>
      <c r="AO698" s="15" t="s">
        <v>1714</v>
      </c>
      <c r="AP698" s="15" t="s">
        <v>1738</v>
      </c>
      <c r="AQ698" s="8" t="s">
        <v>1769</v>
      </c>
      <c r="AS698" s="14">
        <f>AM698+AN698</f>
        <v>0</v>
      </c>
      <c r="AT698" s="14">
        <f>G698/(100-AU698)*100</f>
        <v>0</v>
      </c>
      <c r="AU698" s="14">
        <v>0</v>
      </c>
      <c r="AV698" s="14">
        <f>L698</f>
        <v>0</v>
      </c>
    </row>
    <row r="699" spans="1:48" ht="12.75">
      <c r="A699" s="99" t="s">
        <v>241</v>
      </c>
      <c r="B699" s="99" t="s">
        <v>406</v>
      </c>
      <c r="C699" s="99" t="s">
        <v>662</v>
      </c>
      <c r="D699" s="99" t="s">
        <v>1376</v>
      </c>
      <c r="E699" s="99" t="s">
        <v>1644</v>
      </c>
      <c r="F699" s="100">
        <v>1</v>
      </c>
      <c r="G699" s="100">
        <v>0</v>
      </c>
      <c r="H699" s="100">
        <f>F699*AE699</f>
        <v>0</v>
      </c>
      <c r="I699" s="100">
        <f>J699-H699</f>
        <v>0</v>
      </c>
      <c r="J699" s="100">
        <f>F699*G699</f>
        <v>0</v>
      </c>
      <c r="K699" s="100">
        <v>0</v>
      </c>
      <c r="L699" s="100">
        <f>F699*K699</f>
        <v>0</v>
      </c>
      <c r="M699" s="101" t="s">
        <v>1670</v>
      </c>
      <c r="P699" s="14">
        <f>IF(AG699="5",J699,0)</f>
        <v>0</v>
      </c>
      <c r="R699" s="14">
        <f>IF(AG699="1",H699,0)</f>
        <v>0</v>
      </c>
      <c r="S699" s="14">
        <f>IF(AG699="1",I699,0)</f>
        <v>0</v>
      </c>
      <c r="T699" s="14">
        <f>IF(AG699="7",H699,0)</f>
        <v>0</v>
      </c>
      <c r="U699" s="14">
        <f>IF(AG699="7",I699,0)</f>
        <v>0</v>
      </c>
      <c r="V699" s="14">
        <f>IF(AG699="2",H699,0)</f>
        <v>0</v>
      </c>
      <c r="W699" s="14">
        <f>IF(AG699="2",I699,0)</f>
        <v>0</v>
      </c>
      <c r="X699" s="14">
        <f>IF(AG699="0",J699,0)</f>
        <v>0</v>
      </c>
      <c r="Y699" s="8" t="s">
        <v>406</v>
      </c>
      <c r="Z699" s="5">
        <f>IF(AD699=0,J699,0)</f>
        <v>0</v>
      </c>
      <c r="AA699" s="5">
        <f>IF(AD699=15,J699,0)</f>
        <v>0</v>
      </c>
      <c r="AB699" s="5">
        <f>IF(AD699=21,J699,0)</f>
        <v>0</v>
      </c>
      <c r="AD699" s="14">
        <v>15</v>
      </c>
      <c r="AE699" s="14">
        <f>G699*0</f>
        <v>0</v>
      </c>
      <c r="AF699" s="14">
        <f>G699*(1-0)</f>
        <v>0</v>
      </c>
      <c r="AG699" s="10" t="s">
        <v>7</v>
      </c>
      <c r="AM699" s="14">
        <f>F699*AE699</f>
        <v>0</v>
      </c>
      <c r="AN699" s="14">
        <f>F699*AF699</f>
        <v>0</v>
      </c>
      <c r="AO699" s="15" t="s">
        <v>1714</v>
      </c>
      <c r="AP699" s="15" t="s">
        <v>1738</v>
      </c>
      <c r="AQ699" s="8" t="s">
        <v>1769</v>
      </c>
      <c r="AS699" s="14">
        <f>AM699+AN699</f>
        <v>0</v>
      </c>
      <c r="AT699" s="14">
        <f>G699/(100-AU699)*100</f>
        <v>0</v>
      </c>
      <c r="AU699" s="14">
        <v>0</v>
      </c>
      <c r="AV699" s="14">
        <f>L699</f>
        <v>0</v>
      </c>
    </row>
    <row r="700" spans="1:37" ht="12.75">
      <c r="A700" s="93"/>
      <c r="B700" s="94" t="s">
        <v>406</v>
      </c>
      <c r="C700" s="94" t="s">
        <v>663</v>
      </c>
      <c r="D700" s="95" t="s">
        <v>1377</v>
      </c>
      <c r="E700" s="96"/>
      <c r="F700" s="96"/>
      <c r="G700" s="96"/>
      <c r="H700" s="97">
        <f>SUM(H701:H701)</f>
        <v>0</v>
      </c>
      <c r="I700" s="97">
        <f>SUM(I701:I701)</f>
        <v>0</v>
      </c>
      <c r="J700" s="97">
        <f>H700+I700</f>
        <v>0</v>
      </c>
      <c r="K700" s="98"/>
      <c r="L700" s="97">
        <f>SUM(L701:L701)</f>
        <v>0</v>
      </c>
      <c r="M700" s="98"/>
      <c r="Y700" s="8" t="s">
        <v>406</v>
      </c>
      <c r="AI700" s="16">
        <f>SUM(Z701:Z701)</f>
        <v>0</v>
      </c>
      <c r="AJ700" s="16">
        <f>SUM(AA701:AA701)</f>
        <v>0</v>
      </c>
      <c r="AK700" s="16">
        <f>SUM(AB701:AB701)</f>
        <v>0</v>
      </c>
    </row>
    <row r="701" spans="1:48" ht="12.75">
      <c r="A701" s="99" t="s">
        <v>242</v>
      </c>
      <c r="B701" s="99" t="s">
        <v>406</v>
      </c>
      <c r="C701" s="99" t="s">
        <v>664</v>
      </c>
      <c r="D701" s="99" t="s">
        <v>1378</v>
      </c>
      <c r="E701" s="99" t="s">
        <v>1642</v>
      </c>
      <c r="F701" s="100">
        <v>307.46</v>
      </c>
      <c r="G701" s="100">
        <v>0</v>
      </c>
      <c r="H701" s="100">
        <f>F701*AE701</f>
        <v>0</v>
      </c>
      <c r="I701" s="100">
        <f>J701-H701</f>
        <v>0</v>
      </c>
      <c r="J701" s="100">
        <f>F701*G701</f>
        <v>0</v>
      </c>
      <c r="K701" s="100">
        <v>0</v>
      </c>
      <c r="L701" s="100">
        <f>F701*K701</f>
        <v>0</v>
      </c>
      <c r="M701" s="101" t="s">
        <v>1667</v>
      </c>
      <c r="P701" s="14">
        <f>IF(AG701="5",J701,0)</f>
        <v>0</v>
      </c>
      <c r="R701" s="14">
        <f>IF(AG701="1",H701,0)</f>
        <v>0</v>
      </c>
      <c r="S701" s="14">
        <f>IF(AG701="1",I701,0)</f>
        <v>0</v>
      </c>
      <c r="T701" s="14">
        <f>IF(AG701="7",H701,0)</f>
        <v>0</v>
      </c>
      <c r="U701" s="14">
        <f>IF(AG701="7",I701,0)</f>
        <v>0</v>
      </c>
      <c r="V701" s="14">
        <f>IF(AG701="2",H701,0)</f>
        <v>0</v>
      </c>
      <c r="W701" s="14">
        <f>IF(AG701="2",I701,0)</f>
        <v>0</v>
      </c>
      <c r="X701" s="14">
        <f>IF(AG701="0",J701,0)</f>
        <v>0</v>
      </c>
      <c r="Y701" s="8" t="s">
        <v>406</v>
      </c>
      <c r="Z701" s="5">
        <f>IF(AD701=0,J701,0)</f>
        <v>0</v>
      </c>
      <c r="AA701" s="5">
        <f>IF(AD701=15,J701,0)</f>
        <v>0</v>
      </c>
      <c r="AB701" s="5">
        <f>IF(AD701=21,J701,0)</f>
        <v>0</v>
      </c>
      <c r="AD701" s="14">
        <v>15</v>
      </c>
      <c r="AE701" s="14">
        <f>G701*0</f>
        <v>0</v>
      </c>
      <c r="AF701" s="14">
        <f>G701*(1-0)</f>
        <v>0</v>
      </c>
      <c r="AG701" s="10" t="s">
        <v>11</v>
      </c>
      <c r="AM701" s="14">
        <f>F701*AE701</f>
        <v>0</v>
      </c>
      <c r="AN701" s="14">
        <f>F701*AF701</f>
        <v>0</v>
      </c>
      <c r="AO701" s="15" t="s">
        <v>1715</v>
      </c>
      <c r="AP701" s="15" t="s">
        <v>1738</v>
      </c>
      <c r="AQ701" s="8" t="s">
        <v>1769</v>
      </c>
      <c r="AS701" s="14">
        <f>AM701+AN701</f>
        <v>0</v>
      </c>
      <c r="AT701" s="14">
        <f>G701/(100-AU701)*100</f>
        <v>0</v>
      </c>
      <c r="AU701" s="14">
        <v>0</v>
      </c>
      <c r="AV701" s="14">
        <f>L701</f>
        <v>0</v>
      </c>
    </row>
    <row r="702" spans="1:37" ht="12.75">
      <c r="A702" s="93"/>
      <c r="B702" s="94" t="s">
        <v>406</v>
      </c>
      <c r="C702" s="94" t="s">
        <v>665</v>
      </c>
      <c r="D702" s="95" t="s">
        <v>1379</v>
      </c>
      <c r="E702" s="96"/>
      <c r="F702" s="96"/>
      <c r="G702" s="96"/>
      <c r="H702" s="97">
        <f>SUM(H703:H709)</f>
        <v>0</v>
      </c>
      <c r="I702" s="97">
        <f>SUM(I703:I709)</f>
        <v>0</v>
      </c>
      <c r="J702" s="97">
        <f>H702+I702</f>
        <v>0</v>
      </c>
      <c r="K702" s="98"/>
      <c r="L702" s="97">
        <f>SUM(L703:L709)</f>
        <v>0.0518425</v>
      </c>
      <c r="M702" s="98"/>
      <c r="Y702" s="8" t="s">
        <v>406</v>
      </c>
      <c r="AI702" s="16">
        <f>SUM(Z703:Z709)</f>
        <v>0</v>
      </c>
      <c r="AJ702" s="16">
        <f>SUM(AA703:AA709)</f>
        <v>0</v>
      </c>
      <c r="AK702" s="16">
        <f>SUM(AB703:AB709)</f>
        <v>0</v>
      </c>
    </row>
    <row r="703" spans="1:48" ht="12.75">
      <c r="A703" s="99" t="s">
        <v>243</v>
      </c>
      <c r="B703" s="99" t="s">
        <v>406</v>
      </c>
      <c r="C703" s="99" t="s">
        <v>666</v>
      </c>
      <c r="D703" s="99" t="s">
        <v>1380</v>
      </c>
      <c r="E703" s="99" t="s">
        <v>1643</v>
      </c>
      <c r="F703" s="100">
        <v>38.75</v>
      </c>
      <c r="G703" s="100">
        <v>0</v>
      </c>
      <c r="H703" s="100">
        <f>F703*AE703</f>
        <v>0</v>
      </c>
      <c r="I703" s="100">
        <f>J703-H703</f>
        <v>0</v>
      </c>
      <c r="J703" s="100">
        <f>F703*G703</f>
        <v>0</v>
      </c>
      <c r="K703" s="100">
        <v>0.00099</v>
      </c>
      <c r="L703" s="100">
        <f>F703*K703</f>
        <v>0.0383625</v>
      </c>
      <c r="M703" s="101" t="s">
        <v>1667</v>
      </c>
      <c r="P703" s="14">
        <f>IF(AG703="5",J703,0)</f>
        <v>0</v>
      </c>
      <c r="R703" s="14">
        <f>IF(AG703="1",H703,0)</f>
        <v>0</v>
      </c>
      <c r="S703" s="14">
        <f>IF(AG703="1",I703,0)</f>
        <v>0</v>
      </c>
      <c r="T703" s="14">
        <f>IF(AG703="7",H703,0)</f>
        <v>0</v>
      </c>
      <c r="U703" s="14">
        <f>IF(AG703="7",I703,0)</f>
        <v>0</v>
      </c>
      <c r="V703" s="14">
        <f>IF(AG703="2",H703,0)</f>
        <v>0</v>
      </c>
      <c r="W703" s="14">
        <f>IF(AG703="2",I703,0)</f>
        <v>0</v>
      </c>
      <c r="X703" s="14">
        <f>IF(AG703="0",J703,0)</f>
        <v>0</v>
      </c>
      <c r="Y703" s="8" t="s">
        <v>406</v>
      </c>
      <c r="Z703" s="5">
        <f>IF(AD703=0,J703,0)</f>
        <v>0</v>
      </c>
      <c r="AA703" s="5">
        <f>IF(AD703=15,J703,0)</f>
        <v>0</v>
      </c>
      <c r="AB703" s="5">
        <f>IF(AD703=21,J703,0)</f>
        <v>0</v>
      </c>
      <c r="AD703" s="14">
        <v>15</v>
      </c>
      <c r="AE703" s="14">
        <f>G703*0.379265091863517</f>
        <v>0</v>
      </c>
      <c r="AF703" s="14">
        <f>G703*(1-0.379265091863517)</f>
        <v>0</v>
      </c>
      <c r="AG703" s="10" t="s">
        <v>8</v>
      </c>
      <c r="AM703" s="14">
        <f>F703*AE703</f>
        <v>0</v>
      </c>
      <c r="AN703" s="14">
        <f>F703*AF703</f>
        <v>0</v>
      </c>
      <c r="AO703" s="15" t="s">
        <v>1716</v>
      </c>
      <c r="AP703" s="15" t="s">
        <v>1738</v>
      </c>
      <c r="AQ703" s="8" t="s">
        <v>1769</v>
      </c>
      <c r="AS703" s="14">
        <f>AM703+AN703</f>
        <v>0</v>
      </c>
      <c r="AT703" s="14">
        <f>G703/(100-AU703)*100</f>
        <v>0</v>
      </c>
      <c r="AU703" s="14">
        <v>0</v>
      </c>
      <c r="AV703" s="14">
        <f>L703</f>
        <v>0.0383625</v>
      </c>
    </row>
    <row r="704" spans="1:13" ht="12.75">
      <c r="A704" s="102"/>
      <c r="B704" s="102"/>
      <c r="C704" s="102"/>
      <c r="D704" s="103" t="s">
        <v>1381</v>
      </c>
      <c r="E704" s="102"/>
      <c r="F704" s="104">
        <v>38.75</v>
      </c>
      <c r="G704" s="102"/>
      <c r="H704" s="102"/>
      <c r="I704" s="102"/>
      <c r="J704" s="102"/>
      <c r="K704" s="102"/>
      <c r="L704" s="102"/>
      <c r="M704" s="102"/>
    </row>
    <row r="705" spans="1:48" ht="12.75">
      <c r="A705" s="99" t="s">
        <v>244</v>
      </c>
      <c r="B705" s="99" t="s">
        <v>406</v>
      </c>
      <c r="C705" s="99" t="s">
        <v>667</v>
      </c>
      <c r="D705" s="99" t="s">
        <v>1382</v>
      </c>
      <c r="E705" s="99" t="s">
        <v>1643</v>
      </c>
      <c r="F705" s="100">
        <v>11.2</v>
      </c>
      <c r="G705" s="100">
        <v>0</v>
      </c>
      <c r="H705" s="100">
        <f>F705*AE705</f>
        <v>0</v>
      </c>
      <c r="I705" s="100">
        <f>J705-H705</f>
        <v>0</v>
      </c>
      <c r="J705" s="100">
        <f>F705*G705</f>
        <v>0</v>
      </c>
      <c r="K705" s="100">
        <v>0.00105</v>
      </c>
      <c r="L705" s="100">
        <f>F705*K705</f>
        <v>0.011759999999999998</v>
      </c>
      <c r="M705" s="101" t="s">
        <v>1667</v>
      </c>
      <c r="P705" s="14">
        <f>IF(AG705="5",J705,0)</f>
        <v>0</v>
      </c>
      <c r="R705" s="14">
        <f>IF(AG705="1",H705,0)</f>
        <v>0</v>
      </c>
      <c r="S705" s="14">
        <f>IF(AG705="1",I705,0)</f>
        <v>0</v>
      </c>
      <c r="T705" s="14">
        <f>IF(AG705="7",H705,0)</f>
        <v>0</v>
      </c>
      <c r="U705" s="14">
        <f>IF(AG705="7",I705,0)</f>
        <v>0</v>
      </c>
      <c r="V705" s="14">
        <f>IF(AG705="2",H705,0)</f>
        <v>0</v>
      </c>
      <c r="W705" s="14">
        <f>IF(AG705="2",I705,0)</f>
        <v>0</v>
      </c>
      <c r="X705" s="14">
        <f>IF(AG705="0",J705,0)</f>
        <v>0</v>
      </c>
      <c r="Y705" s="8" t="s">
        <v>406</v>
      </c>
      <c r="Z705" s="5">
        <f>IF(AD705=0,J705,0)</f>
        <v>0</v>
      </c>
      <c r="AA705" s="5">
        <f>IF(AD705=15,J705,0)</f>
        <v>0</v>
      </c>
      <c r="AB705" s="5">
        <f>IF(AD705=21,J705,0)</f>
        <v>0</v>
      </c>
      <c r="AD705" s="14">
        <v>15</v>
      </c>
      <c r="AE705" s="14">
        <f>G705*0.352502780867631</f>
        <v>0</v>
      </c>
      <c r="AF705" s="14">
        <f>G705*(1-0.352502780867631)</f>
        <v>0</v>
      </c>
      <c r="AG705" s="10" t="s">
        <v>8</v>
      </c>
      <c r="AM705" s="14">
        <f>F705*AE705</f>
        <v>0</v>
      </c>
      <c r="AN705" s="14">
        <f>F705*AF705</f>
        <v>0</v>
      </c>
      <c r="AO705" s="15" t="s">
        <v>1716</v>
      </c>
      <c r="AP705" s="15" t="s">
        <v>1738</v>
      </c>
      <c r="AQ705" s="8" t="s">
        <v>1769</v>
      </c>
      <c r="AS705" s="14">
        <f>AM705+AN705</f>
        <v>0</v>
      </c>
      <c r="AT705" s="14">
        <f>G705/(100-AU705)*100</f>
        <v>0</v>
      </c>
      <c r="AU705" s="14">
        <v>0</v>
      </c>
      <c r="AV705" s="14">
        <f>L705</f>
        <v>0.011759999999999998</v>
      </c>
    </row>
    <row r="706" spans="1:13" ht="12.75">
      <c r="A706" s="102"/>
      <c r="B706" s="102"/>
      <c r="C706" s="102"/>
      <c r="D706" s="103" t="s">
        <v>1383</v>
      </c>
      <c r="E706" s="102"/>
      <c r="F706" s="104">
        <v>11.2</v>
      </c>
      <c r="G706" s="102"/>
      <c r="H706" s="102"/>
      <c r="I706" s="102"/>
      <c r="J706" s="102"/>
      <c r="K706" s="102"/>
      <c r="L706" s="102"/>
      <c r="M706" s="102"/>
    </row>
    <row r="707" spans="1:48" ht="12.75">
      <c r="A707" s="99" t="s">
        <v>245</v>
      </c>
      <c r="B707" s="99" t="s">
        <v>406</v>
      </c>
      <c r="C707" s="99" t="s">
        <v>668</v>
      </c>
      <c r="D707" s="99" t="s">
        <v>1384</v>
      </c>
      <c r="E707" s="99" t="s">
        <v>1643</v>
      </c>
      <c r="F707" s="100">
        <v>36.9</v>
      </c>
      <c r="G707" s="100">
        <v>0</v>
      </c>
      <c r="H707" s="100">
        <f>F707*AE707</f>
        <v>0</v>
      </c>
      <c r="I707" s="100">
        <f>J707-H707</f>
        <v>0</v>
      </c>
      <c r="J707" s="100">
        <f>F707*G707</f>
        <v>0</v>
      </c>
      <c r="K707" s="100">
        <v>0</v>
      </c>
      <c r="L707" s="100">
        <f>F707*K707</f>
        <v>0</v>
      </c>
      <c r="M707" s="101" t="s">
        <v>1667</v>
      </c>
      <c r="P707" s="14">
        <f>IF(AG707="5",J707,0)</f>
        <v>0</v>
      </c>
      <c r="R707" s="14">
        <f>IF(AG707="1",H707,0)</f>
        <v>0</v>
      </c>
      <c r="S707" s="14">
        <f>IF(AG707="1",I707,0)</f>
        <v>0</v>
      </c>
      <c r="T707" s="14">
        <f>IF(AG707="7",H707,0)</f>
        <v>0</v>
      </c>
      <c r="U707" s="14">
        <f>IF(AG707="7",I707,0)</f>
        <v>0</v>
      </c>
      <c r="V707" s="14">
        <f>IF(AG707="2",H707,0)</f>
        <v>0</v>
      </c>
      <c r="W707" s="14">
        <f>IF(AG707="2",I707,0)</f>
        <v>0</v>
      </c>
      <c r="X707" s="14">
        <f>IF(AG707="0",J707,0)</f>
        <v>0</v>
      </c>
      <c r="Y707" s="8" t="s">
        <v>406</v>
      </c>
      <c r="Z707" s="5">
        <f>IF(AD707=0,J707,0)</f>
        <v>0</v>
      </c>
      <c r="AA707" s="5">
        <f>IF(AD707=15,J707,0)</f>
        <v>0</v>
      </c>
      <c r="AB707" s="5">
        <f>IF(AD707=21,J707,0)</f>
        <v>0</v>
      </c>
      <c r="AD707" s="14">
        <v>15</v>
      </c>
      <c r="AE707" s="14">
        <f>G707*0</f>
        <v>0</v>
      </c>
      <c r="AF707" s="14">
        <f>G707*(1-0)</f>
        <v>0</v>
      </c>
      <c r="AG707" s="10" t="s">
        <v>8</v>
      </c>
      <c r="AM707" s="14">
        <f>F707*AE707</f>
        <v>0</v>
      </c>
      <c r="AN707" s="14">
        <f>F707*AF707</f>
        <v>0</v>
      </c>
      <c r="AO707" s="15" t="s">
        <v>1716</v>
      </c>
      <c r="AP707" s="15" t="s">
        <v>1738</v>
      </c>
      <c r="AQ707" s="8" t="s">
        <v>1769</v>
      </c>
      <c r="AS707" s="14">
        <f>AM707+AN707</f>
        <v>0</v>
      </c>
      <c r="AT707" s="14">
        <f>G707/(100-AU707)*100</f>
        <v>0</v>
      </c>
      <c r="AU707" s="14">
        <v>0</v>
      </c>
      <c r="AV707" s="14">
        <f>L707</f>
        <v>0</v>
      </c>
    </row>
    <row r="708" spans="1:48" ht="12.75">
      <c r="A708" s="99" t="s">
        <v>246</v>
      </c>
      <c r="B708" s="99" t="s">
        <v>406</v>
      </c>
      <c r="C708" s="99" t="s">
        <v>669</v>
      </c>
      <c r="D708" s="99" t="s">
        <v>1385</v>
      </c>
      <c r="E708" s="99" t="s">
        <v>1641</v>
      </c>
      <c r="F708" s="100">
        <v>4</v>
      </c>
      <c r="G708" s="100">
        <v>0</v>
      </c>
      <c r="H708" s="100">
        <f>F708*AE708</f>
        <v>0</v>
      </c>
      <c r="I708" s="100">
        <f>J708-H708</f>
        <v>0</v>
      </c>
      <c r="J708" s="100">
        <f>F708*G708</f>
        <v>0</v>
      </c>
      <c r="K708" s="100">
        <v>0.00021</v>
      </c>
      <c r="L708" s="100">
        <f>F708*K708</f>
        <v>0.00084</v>
      </c>
      <c r="M708" s="101" t="s">
        <v>1667</v>
      </c>
      <c r="P708" s="14">
        <f>IF(AG708="5",J708,0)</f>
        <v>0</v>
      </c>
      <c r="R708" s="14">
        <f>IF(AG708="1",H708,0)</f>
        <v>0</v>
      </c>
      <c r="S708" s="14">
        <f>IF(AG708="1",I708,0)</f>
        <v>0</v>
      </c>
      <c r="T708" s="14">
        <f>IF(AG708="7",H708,0)</f>
        <v>0</v>
      </c>
      <c r="U708" s="14">
        <f>IF(AG708="7",I708,0)</f>
        <v>0</v>
      </c>
      <c r="V708" s="14">
        <f>IF(AG708="2",H708,0)</f>
        <v>0</v>
      </c>
      <c r="W708" s="14">
        <f>IF(AG708="2",I708,0)</f>
        <v>0</v>
      </c>
      <c r="X708" s="14">
        <f>IF(AG708="0",J708,0)</f>
        <v>0</v>
      </c>
      <c r="Y708" s="8" t="s">
        <v>406</v>
      </c>
      <c r="Z708" s="5">
        <f>IF(AD708=0,J708,0)</f>
        <v>0</v>
      </c>
      <c r="AA708" s="5">
        <f>IF(AD708=15,J708,0)</f>
        <v>0</v>
      </c>
      <c r="AB708" s="5">
        <f>IF(AD708=21,J708,0)</f>
        <v>0</v>
      </c>
      <c r="AD708" s="14">
        <v>15</v>
      </c>
      <c r="AE708" s="14">
        <f>G708*0.132881355932203</f>
        <v>0</v>
      </c>
      <c r="AF708" s="14">
        <f>G708*(1-0.132881355932203)</f>
        <v>0</v>
      </c>
      <c r="AG708" s="10" t="s">
        <v>8</v>
      </c>
      <c r="AM708" s="14">
        <f>F708*AE708</f>
        <v>0</v>
      </c>
      <c r="AN708" s="14">
        <f>F708*AF708</f>
        <v>0</v>
      </c>
      <c r="AO708" s="15" t="s">
        <v>1716</v>
      </c>
      <c r="AP708" s="15" t="s">
        <v>1738</v>
      </c>
      <c r="AQ708" s="8" t="s">
        <v>1769</v>
      </c>
      <c r="AS708" s="14">
        <f>AM708+AN708</f>
        <v>0</v>
      </c>
      <c r="AT708" s="14">
        <f>G708/(100-AU708)*100</f>
        <v>0</v>
      </c>
      <c r="AU708" s="14">
        <v>0</v>
      </c>
      <c r="AV708" s="14">
        <f>L708</f>
        <v>0.00084</v>
      </c>
    </row>
    <row r="709" spans="1:48" ht="12.75">
      <c r="A709" s="99" t="s">
        <v>247</v>
      </c>
      <c r="B709" s="99" t="s">
        <v>406</v>
      </c>
      <c r="C709" s="99" t="s">
        <v>670</v>
      </c>
      <c r="D709" s="99" t="s">
        <v>1385</v>
      </c>
      <c r="E709" s="99" t="s">
        <v>1641</v>
      </c>
      <c r="F709" s="100">
        <v>4</v>
      </c>
      <c r="G709" s="100">
        <v>0</v>
      </c>
      <c r="H709" s="100">
        <f>F709*AE709</f>
        <v>0</v>
      </c>
      <c r="I709" s="100">
        <f>J709-H709</f>
        <v>0</v>
      </c>
      <c r="J709" s="100">
        <f>F709*G709</f>
        <v>0</v>
      </c>
      <c r="K709" s="100">
        <v>0.00022</v>
      </c>
      <c r="L709" s="100">
        <f>F709*K709</f>
        <v>0.00088</v>
      </c>
      <c r="M709" s="101" t="s">
        <v>1667</v>
      </c>
      <c r="P709" s="14">
        <f>IF(AG709="5",J709,0)</f>
        <v>0</v>
      </c>
      <c r="R709" s="14">
        <f>IF(AG709="1",H709,0)</f>
        <v>0</v>
      </c>
      <c r="S709" s="14">
        <f>IF(AG709="1",I709,0)</f>
        <v>0</v>
      </c>
      <c r="T709" s="14">
        <f>IF(AG709="7",H709,0)</f>
        <v>0</v>
      </c>
      <c r="U709" s="14">
        <f>IF(AG709="7",I709,0)</f>
        <v>0</v>
      </c>
      <c r="V709" s="14">
        <f>IF(AG709="2",H709,0)</f>
        <v>0</v>
      </c>
      <c r="W709" s="14">
        <f>IF(AG709="2",I709,0)</f>
        <v>0</v>
      </c>
      <c r="X709" s="14">
        <f>IF(AG709="0",J709,0)</f>
        <v>0</v>
      </c>
      <c r="Y709" s="8" t="s">
        <v>406</v>
      </c>
      <c r="Z709" s="5">
        <f>IF(AD709=0,J709,0)</f>
        <v>0</v>
      </c>
      <c r="AA709" s="5">
        <f>IF(AD709=15,J709,0)</f>
        <v>0</v>
      </c>
      <c r="AB709" s="5">
        <f>IF(AD709=21,J709,0)</f>
        <v>0</v>
      </c>
      <c r="AD709" s="14">
        <v>15</v>
      </c>
      <c r="AE709" s="14">
        <f>G709*0.143210702341137</f>
        <v>0</v>
      </c>
      <c r="AF709" s="14">
        <f>G709*(1-0.143210702341137)</f>
        <v>0</v>
      </c>
      <c r="AG709" s="10" t="s">
        <v>8</v>
      </c>
      <c r="AM709" s="14">
        <f>F709*AE709</f>
        <v>0</v>
      </c>
      <c r="AN709" s="14">
        <f>F709*AF709</f>
        <v>0</v>
      </c>
      <c r="AO709" s="15" t="s">
        <v>1716</v>
      </c>
      <c r="AP709" s="15" t="s">
        <v>1738</v>
      </c>
      <c r="AQ709" s="8" t="s">
        <v>1769</v>
      </c>
      <c r="AS709" s="14">
        <f>AM709+AN709</f>
        <v>0</v>
      </c>
      <c r="AT709" s="14">
        <f>G709/(100-AU709)*100</f>
        <v>0</v>
      </c>
      <c r="AU709" s="14">
        <v>0</v>
      </c>
      <c r="AV709" s="14">
        <f>L709</f>
        <v>0.00088</v>
      </c>
    </row>
    <row r="710" spans="1:13" ht="12.75">
      <c r="A710" s="113"/>
      <c r="B710" s="114" t="s">
        <v>407</v>
      </c>
      <c r="C710" s="114"/>
      <c r="D710" s="115" t="s">
        <v>1386</v>
      </c>
      <c r="E710" s="116"/>
      <c r="F710" s="116"/>
      <c r="G710" s="116"/>
      <c r="H710" s="117">
        <f>H711+H721+H725+H727+H770+H779+H782+H800+H813+H831+H843+H845+H854+H875+H881+H883+H886+H889+H900+H908+H913+H919+H924</f>
        <v>0</v>
      </c>
      <c r="I710" s="117">
        <f>I711+I721+I725+I727+I770+I779+I782+I800+I813+I831+I843+I845+I854+I875+I881+I883+I886+I889+I900+I908+I913+I919+I924</f>
        <v>0</v>
      </c>
      <c r="J710" s="117">
        <f>H710+I710</f>
        <v>0</v>
      </c>
      <c r="K710" s="118"/>
      <c r="L710" s="117">
        <f>L711+L721+L725+L727+L770+L779+L782+L800+L813+L831+L843+L845+L854+L875+L881+L883+L886+L889+L900+L908+L913+L919+L924</f>
        <v>175.18487369999997</v>
      </c>
      <c r="M710" s="118"/>
    </row>
    <row r="711" spans="1:37" ht="12.75">
      <c r="A711" s="93"/>
      <c r="B711" s="94" t="s">
        <v>407</v>
      </c>
      <c r="C711" s="94" t="s">
        <v>19</v>
      </c>
      <c r="D711" s="95" t="s">
        <v>781</v>
      </c>
      <c r="E711" s="96"/>
      <c r="F711" s="96"/>
      <c r="G711" s="96"/>
      <c r="H711" s="97">
        <f>SUM(H712:H713)</f>
        <v>0</v>
      </c>
      <c r="I711" s="97">
        <f>SUM(I712:I713)</f>
        <v>0</v>
      </c>
      <c r="J711" s="97">
        <f>H711+I711</f>
        <v>0</v>
      </c>
      <c r="K711" s="98"/>
      <c r="L711" s="97">
        <f>SUM(L712:L713)</f>
        <v>0</v>
      </c>
      <c r="M711" s="98"/>
      <c r="Y711" s="8" t="s">
        <v>407</v>
      </c>
      <c r="AI711" s="16">
        <f>SUM(Z712:Z713)</f>
        <v>0</v>
      </c>
      <c r="AJ711" s="16">
        <f>SUM(AA712:AA713)</f>
        <v>0</v>
      </c>
      <c r="AK711" s="16">
        <f>SUM(AB712:AB713)</f>
        <v>0</v>
      </c>
    </row>
    <row r="712" spans="1:48" ht="12.75">
      <c r="A712" s="99" t="s">
        <v>248</v>
      </c>
      <c r="B712" s="99" t="s">
        <v>407</v>
      </c>
      <c r="C712" s="99" t="s">
        <v>419</v>
      </c>
      <c r="D712" s="99" t="s">
        <v>782</v>
      </c>
      <c r="E712" s="99" t="s">
        <v>1639</v>
      </c>
      <c r="F712" s="100">
        <v>6.61</v>
      </c>
      <c r="G712" s="100">
        <v>0</v>
      </c>
      <c r="H712" s="100">
        <f>F712*AE712</f>
        <v>0</v>
      </c>
      <c r="I712" s="100">
        <f>J712-H712</f>
        <v>0</v>
      </c>
      <c r="J712" s="100">
        <f>F712*G712</f>
        <v>0</v>
      </c>
      <c r="K712" s="100">
        <v>0</v>
      </c>
      <c r="L712" s="100">
        <f>F712*K712</f>
        <v>0</v>
      </c>
      <c r="M712" s="101" t="s">
        <v>1667</v>
      </c>
      <c r="P712" s="14">
        <f>IF(AG712="5",J712,0)</f>
        <v>0</v>
      </c>
      <c r="R712" s="14">
        <f>IF(AG712="1",H712,0)</f>
        <v>0</v>
      </c>
      <c r="S712" s="14">
        <f>IF(AG712="1",I712,0)</f>
        <v>0</v>
      </c>
      <c r="T712" s="14">
        <f>IF(AG712="7",H712,0)</f>
        <v>0</v>
      </c>
      <c r="U712" s="14">
        <f>IF(AG712="7",I712,0)</f>
        <v>0</v>
      </c>
      <c r="V712" s="14">
        <f>IF(AG712="2",H712,0)</f>
        <v>0</v>
      </c>
      <c r="W712" s="14">
        <f>IF(AG712="2",I712,0)</f>
        <v>0</v>
      </c>
      <c r="X712" s="14">
        <f>IF(AG712="0",J712,0)</f>
        <v>0</v>
      </c>
      <c r="Y712" s="8" t="s">
        <v>407</v>
      </c>
      <c r="Z712" s="5">
        <f>IF(AD712=0,J712,0)</f>
        <v>0</v>
      </c>
      <c r="AA712" s="5">
        <f>IF(AD712=15,J712,0)</f>
        <v>0</v>
      </c>
      <c r="AB712" s="5">
        <f>IF(AD712=21,J712,0)</f>
        <v>0</v>
      </c>
      <c r="AD712" s="14">
        <v>15</v>
      </c>
      <c r="AE712" s="14">
        <f>G712*0</f>
        <v>0</v>
      </c>
      <c r="AF712" s="14">
        <f>G712*(1-0)</f>
        <v>0</v>
      </c>
      <c r="AG712" s="10" t="s">
        <v>7</v>
      </c>
      <c r="AM712" s="14">
        <f>F712*AE712</f>
        <v>0</v>
      </c>
      <c r="AN712" s="14">
        <f>F712*AF712</f>
        <v>0</v>
      </c>
      <c r="AO712" s="15" t="s">
        <v>1682</v>
      </c>
      <c r="AP712" s="15" t="s">
        <v>1739</v>
      </c>
      <c r="AQ712" s="8" t="s">
        <v>1770</v>
      </c>
      <c r="AS712" s="14">
        <f>AM712+AN712</f>
        <v>0</v>
      </c>
      <c r="AT712" s="14">
        <f>G712/(100-AU712)*100</f>
        <v>0</v>
      </c>
      <c r="AU712" s="14">
        <v>0</v>
      </c>
      <c r="AV712" s="14">
        <f>L712</f>
        <v>0</v>
      </c>
    </row>
    <row r="713" spans="1:48" ht="12.75">
      <c r="A713" s="99" t="s">
        <v>249</v>
      </c>
      <c r="B713" s="99" t="s">
        <v>407</v>
      </c>
      <c r="C713" s="99" t="s">
        <v>420</v>
      </c>
      <c r="D713" s="99" t="s">
        <v>783</v>
      </c>
      <c r="E713" s="99" t="s">
        <v>1639</v>
      </c>
      <c r="F713" s="100">
        <v>6.61</v>
      </c>
      <c r="G713" s="100">
        <v>0</v>
      </c>
      <c r="H713" s="100">
        <f>F713*AE713</f>
        <v>0</v>
      </c>
      <c r="I713" s="100">
        <f>J713-H713</f>
        <v>0</v>
      </c>
      <c r="J713" s="100">
        <f>F713*G713</f>
        <v>0</v>
      </c>
      <c r="K713" s="100">
        <v>0</v>
      </c>
      <c r="L713" s="100">
        <f>F713*K713</f>
        <v>0</v>
      </c>
      <c r="M713" s="101" t="s">
        <v>1667</v>
      </c>
      <c r="P713" s="14">
        <f>IF(AG713="5",J713,0)</f>
        <v>0</v>
      </c>
      <c r="R713" s="14">
        <f>IF(AG713="1",H713,0)</f>
        <v>0</v>
      </c>
      <c r="S713" s="14">
        <f>IF(AG713="1",I713,0)</f>
        <v>0</v>
      </c>
      <c r="T713" s="14">
        <f>IF(AG713="7",H713,0)</f>
        <v>0</v>
      </c>
      <c r="U713" s="14">
        <f>IF(AG713="7",I713,0)</f>
        <v>0</v>
      </c>
      <c r="V713" s="14">
        <f>IF(AG713="2",H713,0)</f>
        <v>0</v>
      </c>
      <c r="W713" s="14">
        <f>IF(AG713="2",I713,0)</f>
        <v>0</v>
      </c>
      <c r="X713" s="14">
        <f>IF(AG713="0",J713,0)</f>
        <v>0</v>
      </c>
      <c r="Y713" s="8" t="s">
        <v>407</v>
      </c>
      <c r="Z713" s="5">
        <f>IF(AD713=0,J713,0)</f>
        <v>0</v>
      </c>
      <c r="AA713" s="5">
        <f>IF(AD713=15,J713,0)</f>
        <v>0</v>
      </c>
      <c r="AB713" s="5">
        <f>IF(AD713=21,J713,0)</f>
        <v>0</v>
      </c>
      <c r="AD713" s="14">
        <v>15</v>
      </c>
      <c r="AE713" s="14">
        <f>G713*0</f>
        <v>0</v>
      </c>
      <c r="AF713" s="14">
        <f>G713*(1-0)</f>
        <v>0</v>
      </c>
      <c r="AG713" s="10" t="s">
        <v>7</v>
      </c>
      <c r="AM713" s="14">
        <f>F713*AE713</f>
        <v>0</v>
      </c>
      <c r="AN713" s="14">
        <f>F713*AF713</f>
        <v>0</v>
      </c>
      <c r="AO713" s="15" t="s">
        <v>1682</v>
      </c>
      <c r="AP713" s="15" t="s">
        <v>1739</v>
      </c>
      <c r="AQ713" s="8" t="s">
        <v>1770</v>
      </c>
      <c r="AS713" s="14">
        <f>AM713+AN713</f>
        <v>0</v>
      </c>
      <c r="AT713" s="14">
        <f>G713/(100-AU713)*100</f>
        <v>0</v>
      </c>
      <c r="AU713" s="14">
        <v>0</v>
      </c>
      <c r="AV713" s="14">
        <f>L713</f>
        <v>0</v>
      </c>
    </row>
    <row r="714" spans="1:13" ht="12.75">
      <c r="A714" s="102"/>
      <c r="B714" s="102"/>
      <c r="C714" s="102"/>
      <c r="D714" s="103" t="s">
        <v>1387</v>
      </c>
      <c r="E714" s="102"/>
      <c r="F714" s="104">
        <v>0.96</v>
      </c>
      <c r="G714" s="102"/>
      <c r="H714" s="102"/>
      <c r="I714" s="102"/>
      <c r="J714" s="102"/>
      <c r="K714" s="102"/>
      <c r="L714" s="102"/>
      <c r="M714" s="102"/>
    </row>
    <row r="715" spans="1:13" ht="12.75">
      <c r="A715" s="102"/>
      <c r="B715" s="102"/>
      <c r="C715" s="102"/>
      <c r="D715" s="103" t="s">
        <v>1388</v>
      </c>
      <c r="E715" s="102"/>
      <c r="F715" s="104">
        <v>0</v>
      </c>
      <c r="G715" s="102"/>
      <c r="H715" s="102"/>
      <c r="I715" s="102"/>
      <c r="J715" s="102"/>
      <c r="K715" s="102"/>
      <c r="L715" s="102"/>
      <c r="M715" s="102"/>
    </row>
    <row r="716" spans="1:13" ht="12.75">
      <c r="A716" s="102"/>
      <c r="B716" s="102"/>
      <c r="C716" s="102"/>
      <c r="D716" s="103" t="s">
        <v>1389</v>
      </c>
      <c r="E716" s="102"/>
      <c r="F716" s="104">
        <v>0.55</v>
      </c>
      <c r="G716" s="102"/>
      <c r="H716" s="102"/>
      <c r="I716" s="102"/>
      <c r="J716" s="102"/>
      <c r="K716" s="102"/>
      <c r="L716" s="102"/>
      <c r="M716" s="102"/>
    </row>
    <row r="717" spans="1:13" ht="12.75">
      <c r="A717" s="102"/>
      <c r="B717" s="102"/>
      <c r="C717" s="102"/>
      <c r="D717" s="103" t="s">
        <v>1390</v>
      </c>
      <c r="E717" s="102"/>
      <c r="F717" s="104">
        <v>1.15</v>
      </c>
      <c r="G717" s="102"/>
      <c r="H717" s="102"/>
      <c r="I717" s="102"/>
      <c r="J717" s="102"/>
      <c r="K717" s="102"/>
      <c r="L717" s="102"/>
      <c r="M717" s="102"/>
    </row>
    <row r="718" spans="1:13" ht="12.75">
      <c r="A718" s="102"/>
      <c r="B718" s="102"/>
      <c r="C718" s="102"/>
      <c r="D718" s="103" t="s">
        <v>1391</v>
      </c>
      <c r="E718" s="102"/>
      <c r="F718" s="104">
        <v>1.11</v>
      </c>
      <c r="G718" s="102"/>
      <c r="H718" s="102"/>
      <c r="I718" s="102"/>
      <c r="J718" s="102"/>
      <c r="K718" s="102"/>
      <c r="L718" s="102"/>
      <c r="M718" s="102"/>
    </row>
    <row r="719" spans="1:13" ht="12.75">
      <c r="A719" s="102"/>
      <c r="B719" s="102"/>
      <c r="C719" s="102"/>
      <c r="D719" s="103" t="s">
        <v>1392</v>
      </c>
      <c r="E719" s="102"/>
      <c r="F719" s="104">
        <v>0.5</v>
      </c>
      <c r="G719" s="102"/>
      <c r="H719" s="102"/>
      <c r="I719" s="102"/>
      <c r="J719" s="102"/>
      <c r="K719" s="102"/>
      <c r="L719" s="102"/>
      <c r="M719" s="102"/>
    </row>
    <row r="720" spans="1:13" ht="12.75">
      <c r="A720" s="102"/>
      <c r="B720" s="102"/>
      <c r="C720" s="102"/>
      <c r="D720" s="103" t="s">
        <v>1393</v>
      </c>
      <c r="E720" s="102"/>
      <c r="F720" s="104">
        <v>2.34</v>
      </c>
      <c r="G720" s="102"/>
      <c r="H720" s="102"/>
      <c r="I720" s="102"/>
      <c r="J720" s="102"/>
      <c r="K720" s="102"/>
      <c r="L720" s="102"/>
      <c r="M720" s="102"/>
    </row>
    <row r="721" spans="1:37" ht="12.75">
      <c r="A721" s="93"/>
      <c r="B721" s="94" t="s">
        <v>407</v>
      </c>
      <c r="C721" s="94" t="s">
        <v>22</v>
      </c>
      <c r="D721" s="95" t="s">
        <v>795</v>
      </c>
      <c r="E721" s="96"/>
      <c r="F721" s="96"/>
      <c r="G721" s="96"/>
      <c r="H721" s="97">
        <f>SUM(H722:H724)</f>
        <v>0</v>
      </c>
      <c r="I721" s="97">
        <f>SUM(I722:I724)</f>
        <v>0</v>
      </c>
      <c r="J721" s="97">
        <f>H721+I721</f>
        <v>0</v>
      </c>
      <c r="K721" s="98"/>
      <c r="L721" s="97">
        <f>SUM(L722:L724)</f>
        <v>0</v>
      </c>
      <c r="M721" s="98"/>
      <c r="Y721" s="8" t="s">
        <v>407</v>
      </c>
      <c r="AI721" s="16">
        <f>SUM(Z722:Z724)</f>
        <v>0</v>
      </c>
      <c r="AJ721" s="16">
        <f>SUM(AA722:AA724)</f>
        <v>0</v>
      </c>
      <c r="AK721" s="16">
        <f>SUM(AB722:AB724)</f>
        <v>0</v>
      </c>
    </row>
    <row r="722" spans="1:48" ht="12.75">
      <c r="A722" s="99" t="s">
        <v>250</v>
      </c>
      <c r="B722" s="99" t="s">
        <v>407</v>
      </c>
      <c r="C722" s="99" t="s">
        <v>421</v>
      </c>
      <c r="D722" s="99" t="s">
        <v>796</v>
      </c>
      <c r="E722" s="99" t="s">
        <v>1639</v>
      </c>
      <c r="F722" s="100">
        <v>6.61</v>
      </c>
      <c r="G722" s="100">
        <v>0</v>
      </c>
      <c r="H722" s="100">
        <f>F722*AE722</f>
        <v>0</v>
      </c>
      <c r="I722" s="100">
        <f>J722-H722</f>
        <v>0</v>
      </c>
      <c r="J722" s="100">
        <f>F722*G722</f>
        <v>0</v>
      </c>
      <c r="K722" s="100">
        <v>0</v>
      </c>
      <c r="L722" s="100">
        <f>F722*K722</f>
        <v>0</v>
      </c>
      <c r="M722" s="101" t="s">
        <v>1667</v>
      </c>
      <c r="P722" s="14">
        <f>IF(AG722="5",J722,0)</f>
        <v>0</v>
      </c>
      <c r="R722" s="14">
        <f>IF(AG722="1",H722,0)</f>
        <v>0</v>
      </c>
      <c r="S722" s="14">
        <f>IF(AG722="1",I722,0)</f>
        <v>0</v>
      </c>
      <c r="T722" s="14">
        <f>IF(AG722="7",H722,0)</f>
        <v>0</v>
      </c>
      <c r="U722" s="14">
        <f>IF(AG722="7",I722,0)</f>
        <v>0</v>
      </c>
      <c r="V722" s="14">
        <f>IF(AG722="2",H722,0)</f>
        <v>0</v>
      </c>
      <c r="W722" s="14">
        <f>IF(AG722="2",I722,0)</f>
        <v>0</v>
      </c>
      <c r="X722" s="14">
        <f>IF(AG722="0",J722,0)</f>
        <v>0</v>
      </c>
      <c r="Y722" s="8" t="s">
        <v>407</v>
      </c>
      <c r="Z722" s="5">
        <f>IF(AD722=0,J722,0)</f>
        <v>0</v>
      </c>
      <c r="AA722" s="5">
        <f>IF(AD722=15,J722,0)</f>
        <v>0</v>
      </c>
      <c r="AB722" s="5">
        <f>IF(AD722=21,J722,0)</f>
        <v>0</v>
      </c>
      <c r="AD722" s="14">
        <v>15</v>
      </c>
      <c r="AE722" s="14">
        <f>G722*0</f>
        <v>0</v>
      </c>
      <c r="AF722" s="14">
        <f>G722*(1-0)</f>
        <v>0</v>
      </c>
      <c r="AG722" s="10" t="s">
        <v>7</v>
      </c>
      <c r="AM722" s="14">
        <f>F722*AE722</f>
        <v>0</v>
      </c>
      <c r="AN722" s="14">
        <f>F722*AF722</f>
        <v>0</v>
      </c>
      <c r="AO722" s="15" t="s">
        <v>1683</v>
      </c>
      <c r="AP722" s="15" t="s">
        <v>1739</v>
      </c>
      <c r="AQ722" s="8" t="s">
        <v>1770</v>
      </c>
      <c r="AS722" s="14">
        <f>AM722+AN722</f>
        <v>0</v>
      </c>
      <c r="AT722" s="14">
        <f>G722/(100-AU722)*100</f>
        <v>0</v>
      </c>
      <c r="AU722" s="14">
        <v>0</v>
      </c>
      <c r="AV722" s="14">
        <f>L722</f>
        <v>0</v>
      </c>
    </row>
    <row r="723" spans="1:48" ht="12.75">
      <c r="A723" s="99" t="s">
        <v>251</v>
      </c>
      <c r="B723" s="99" t="s">
        <v>407</v>
      </c>
      <c r="C723" s="99" t="s">
        <v>422</v>
      </c>
      <c r="D723" s="99" t="s">
        <v>799</v>
      </c>
      <c r="E723" s="99" t="s">
        <v>1639</v>
      </c>
      <c r="F723" s="100">
        <v>6.61</v>
      </c>
      <c r="G723" s="100">
        <v>0</v>
      </c>
      <c r="H723" s="100">
        <f>F723*AE723</f>
        <v>0</v>
      </c>
      <c r="I723" s="100">
        <f>J723-H723</f>
        <v>0</v>
      </c>
      <c r="J723" s="100">
        <f>F723*G723</f>
        <v>0</v>
      </c>
      <c r="K723" s="100">
        <v>0</v>
      </c>
      <c r="L723" s="100">
        <f>F723*K723</f>
        <v>0</v>
      </c>
      <c r="M723" s="101" t="s">
        <v>1667</v>
      </c>
      <c r="P723" s="14">
        <f>IF(AG723="5",J723,0)</f>
        <v>0</v>
      </c>
      <c r="R723" s="14">
        <f>IF(AG723="1",H723,0)</f>
        <v>0</v>
      </c>
      <c r="S723" s="14">
        <f>IF(AG723="1",I723,0)</f>
        <v>0</v>
      </c>
      <c r="T723" s="14">
        <f>IF(AG723="7",H723,0)</f>
        <v>0</v>
      </c>
      <c r="U723" s="14">
        <f>IF(AG723="7",I723,0)</f>
        <v>0</v>
      </c>
      <c r="V723" s="14">
        <f>IF(AG723="2",H723,0)</f>
        <v>0</v>
      </c>
      <c r="W723" s="14">
        <f>IF(AG723="2",I723,0)</f>
        <v>0</v>
      </c>
      <c r="X723" s="14">
        <f>IF(AG723="0",J723,0)</f>
        <v>0</v>
      </c>
      <c r="Y723" s="8" t="s">
        <v>407</v>
      </c>
      <c r="Z723" s="5">
        <f>IF(AD723=0,J723,0)</f>
        <v>0</v>
      </c>
      <c r="AA723" s="5">
        <f>IF(AD723=15,J723,0)</f>
        <v>0</v>
      </c>
      <c r="AB723" s="5">
        <f>IF(AD723=21,J723,0)</f>
        <v>0</v>
      </c>
      <c r="AD723" s="14">
        <v>15</v>
      </c>
      <c r="AE723" s="14">
        <f>G723*0</f>
        <v>0</v>
      </c>
      <c r="AF723" s="14">
        <f>G723*(1-0)</f>
        <v>0</v>
      </c>
      <c r="AG723" s="10" t="s">
        <v>7</v>
      </c>
      <c r="AM723" s="14">
        <f>F723*AE723</f>
        <v>0</v>
      </c>
      <c r="AN723" s="14">
        <f>F723*AF723</f>
        <v>0</v>
      </c>
      <c r="AO723" s="15" t="s">
        <v>1683</v>
      </c>
      <c r="AP723" s="15" t="s">
        <v>1739</v>
      </c>
      <c r="AQ723" s="8" t="s">
        <v>1770</v>
      </c>
      <c r="AS723" s="14">
        <f>AM723+AN723</f>
        <v>0</v>
      </c>
      <c r="AT723" s="14">
        <f>G723/(100-AU723)*100</f>
        <v>0</v>
      </c>
      <c r="AU723" s="14">
        <v>0</v>
      </c>
      <c r="AV723" s="14">
        <f>L723</f>
        <v>0</v>
      </c>
    </row>
    <row r="724" spans="1:48" ht="12.75">
      <c r="A724" s="99" t="s">
        <v>252</v>
      </c>
      <c r="B724" s="99" t="s">
        <v>407</v>
      </c>
      <c r="C724" s="99" t="s">
        <v>671</v>
      </c>
      <c r="D724" s="99" t="s">
        <v>802</v>
      </c>
      <c r="E724" s="99" t="s">
        <v>1639</v>
      </c>
      <c r="F724" s="100">
        <v>6.61</v>
      </c>
      <c r="G724" s="100">
        <v>0</v>
      </c>
      <c r="H724" s="100">
        <f>F724*AE724</f>
        <v>0</v>
      </c>
      <c r="I724" s="100">
        <f>J724-H724</f>
        <v>0</v>
      </c>
      <c r="J724" s="100">
        <f>F724*G724</f>
        <v>0</v>
      </c>
      <c r="K724" s="100">
        <v>0</v>
      </c>
      <c r="L724" s="100">
        <f>F724*K724</f>
        <v>0</v>
      </c>
      <c r="M724" s="101" t="s">
        <v>1669</v>
      </c>
      <c r="P724" s="14">
        <f>IF(AG724="5",J724,0)</f>
        <v>0</v>
      </c>
      <c r="R724" s="14">
        <f>IF(AG724="1",H724,0)</f>
        <v>0</v>
      </c>
      <c r="S724" s="14">
        <f>IF(AG724="1",I724,0)</f>
        <v>0</v>
      </c>
      <c r="T724" s="14">
        <f>IF(AG724="7",H724,0)</f>
        <v>0</v>
      </c>
      <c r="U724" s="14">
        <f>IF(AG724="7",I724,0)</f>
        <v>0</v>
      </c>
      <c r="V724" s="14">
        <f>IF(AG724="2",H724,0)</f>
        <v>0</v>
      </c>
      <c r="W724" s="14">
        <f>IF(AG724="2",I724,0)</f>
        <v>0</v>
      </c>
      <c r="X724" s="14">
        <f>IF(AG724="0",J724,0)</f>
        <v>0</v>
      </c>
      <c r="Y724" s="8" t="s">
        <v>407</v>
      </c>
      <c r="Z724" s="5">
        <f>IF(AD724=0,J724,0)</f>
        <v>0</v>
      </c>
      <c r="AA724" s="5">
        <f>IF(AD724=15,J724,0)</f>
        <v>0</v>
      </c>
      <c r="AB724" s="5">
        <f>IF(AD724=21,J724,0)</f>
        <v>0</v>
      </c>
      <c r="AD724" s="14">
        <v>15</v>
      </c>
      <c r="AE724" s="14">
        <f>G724*0</f>
        <v>0</v>
      </c>
      <c r="AF724" s="14">
        <f>G724*(1-0)</f>
        <v>0</v>
      </c>
      <c r="AG724" s="10" t="s">
        <v>7</v>
      </c>
      <c r="AM724" s="14">
        <f>F724*AE724</f>
        <v>0</v>
      </c>
      <c r="AN724" s="14">
        <f>F724*AF724</f>
        <v>0</v>
      </c>
      <c r="AO724" s="15" t="s">
        <v>1683</v>
      </c>
      <c r="AP724" s="15" t="s">
        <v>1739</v>
      </c>
      <c r="AQ724" s="8" t="s">
        <v>1770</v>
      </c>
      <c r="AS724" s="14">
        <f>AM724+AN724</f>
        <v>0</v>
      </c>
      <c r="AT724" s="14">
        <f>G724/(100-AU724)*100</f>
        <v>0</v>
      </c>
      <c r="AU724" s="14">
        <v>0</v>
      </c>
      <c r="AV724" s="14">
        <f>L724</f>
        <v>0</v>
      </c>
    </row>
    <row r="725" spans="1:37" ht="12.75">
      <c r="A725" s="93"/>
      <c r="B725" s="94" t="s">
        <v>407</v>
      </c>
      <c r="C725" s="94" t="s">
        <v>23</v>
      </c>
      <c r="D725" s="95" t="s">
        <v>803</v>
      </c>
      <c r="E725" s="96"/>
      <c r="F725" s="96"/>
      <c r="G725" s="96"/>
      <c r="H725" s="97">
        <f>SUM(H726:H726)</f>
        <v>0</v>
      </c>
      <c r="I725" s="97">
        <f>SUM(I726:I726)</f>
        <v>0</v>
      </c>
      <c r="J725" s="97">
        <f>H725+I725</f>
        <v>0</v>
      </c>
      <c r="K725" s="98"/>
      <c r="L725" s="97">
        <f>SUM(L726:L726)</f>
        <v>0</v>
      </c>
      <c r="M725" s="98"/>
      <c r="Y725" s="8" t="s">
        <v>407</v>
      </c>
      <c r="AI725" s="16">
        <f>SUM(Z726:Z726)</f>
        <v>0</v>
      </c>
      <c r="AJ725" s="16">
        <f>SUM(AA726:AA726)</f>
        <v>0</v>
      </c>
      <c r="AK725" s="16">
        <f>SUM(AB726:AB726)</f>
        <v>0</v>
      </c>
    </row>
    <row r="726" spans="1:48" ht="12.75">
      <c r="A726" s="99" t="s">
        <v>253</v>
      </c>
      <c r="B726" s="99" t="s">
        <v>407</v>
      </c>
      <c r="C726" s="99" t="s">
        <v>424</v>
      </c>
      <c r="D726" s="99" t="s">
        <v>804</v>
      </c>
      <c r="E726" s="99" t="s">
        <v>1639</v>
      </c>
      <c r="F726" s="100">
        <v>6.61</v>
      </c>
      <c r="G726" s="100">
        <v>0</v>
      </c>
      <c r="H726" s="100">
        <f>F726*AE726</f>
        <v>0</v>
      </c>
      <c r="I726" s="100">
        <f>J726-H726</f>
        <v>0</v>
      </c>
      <c r="J726" s="100">
        <f>F726*G726</f>
        <v>0</v>
      </c>
      <c r="K726" s="100">
        <v>0</v>
      </c>
      <c r="L726" s="100">
        <f>F726*K726</f>
        <v>0</v>
      </c>
      <c r="M726" s="101" t="s">
        <v>1667</v>
      </c>
      <c r="P726" s="14">
        <f>IF(AG726="5",J726,0)</f>
        <v>0</v>
      </c>
      <c r="R726" s="14">
        <f>IF(AG726="1",H726,0)</f>
        <v>0</v>
      </c>
      <c r="S726" s="14">
        <f>IF(AG726="1",I726,0)</f>
        <v>0</v>
      </c>
      <c r="T726" s="14">
        <f>IF(AG726="7",H726,0)</f>
        <v>0</v>
      </c>
      <c r="U726" s="14">
        <f>IF(AG726="7",I726,0)</f>
        <v>0</v>
      </c>
      <c r="V726" s="14">
        <f>IF(AG726="2",H726,0)</f>
        <v>0</v>
      </c>
      <c r="W726" s="14">
        <f>IF(AG726="2",I726,0)</f>
        <v>0</v>
      </c>
      <c r="X726" s="14">
        <f>IF(AG726="0",J726,0)</f>
        <v>0</v>
      </c>
      <c r="Y726" s="8" t="s">
        <v>407</v>
      </c>
      <c r="Z726" s="5">
        <f>IF(AD726=0,J726,0)</f>
        <v>0</v>
      </c>
      <c r="AA726" s="5">
        <f>IF(AD726=15,J726,0)</f>
        <v>0</v>
      </c>
      <c r="AB726" s="5">
        <f>IF(AD726=21,J726,0)</f>
        <v>0</v>
      </c>
      <c r="AD726" s="14">
        <v>15</v>
      </c>
      <c r="AE726" s="14">
        <f>G726*0</f>
        <v>0</v>
      </c>
      <c r="AF726" s="14">
        <f>G726*(1-0)</f>
        <v>0</v>
      </c>
      <c r="AG726" s="10" t="s">
        <v>7</v>
      </c>
      <c r="AM726" s="14">
        <f>F726*AE726</f>
        <v>0</v>
      </c>
      <c r="AN726" s="14">
        <f>F726*AF726</f>
        <v>0</v>
      </c>
      <c r="AO726" s="15" t="s">
        <v>1684</v>
      </c>
      <c r="AP726" s="15" t="s">
        <v>1739</v>
      </c>
      <c r="AQ726" s="8" t="s">
        <v>1770</v>
      </c>
      <c r="AS726" s="14">
        <f>AM726+AN726</f>
        <v>0</v>
      </c>
      <c r="AT726" s="14">
        <f>G726/(100-AU726)*100</f>
        <v>0</v>
      </c>
      <c r="AU726" s="14">
        <v>0</v>
      </c>
      <c r="AV726" s="14">
        <f>L726</f>
        <v>0</v>
      </c>
    </row>
    <row r="727" spans="1:37" ht="12.75">
      <c r="A727" s="93"/>
      <c r="B727" s="94" t="s">
        <v>407</v>
      </c>
      <c r="C727" s="94" t="s">
        <v>33</v>
      </c>
      <c r="D727" s="95" t="s">
        <v>806</v>
      </c>
      <c r="E727" s="96"/>
      <c r="F727" s="96"/>
      <c r="G727" s="96"/>
      <c r="H727" s="97">
        <f>SUM(H728:H769)</f>
        <v>0</v>
      </c>
      <c r="I727" s="97">
        <f>SUM(I728:I769)</f>
        <v>0</v>
      </c>
      <c r="J727" s="97">
        <f>H727+I727</f>
        <v>0</v>
      </c>
      <c r="K727" s="98"/>
      <c r="L727" s="97">
        <f>SUM(L728:L769)</f>
        <v>117.74640959999998</v>
      </c>
      <c r="M727" s="98"/>
      <c r="Y727" s="8" t="s">
        <v>407</v>
      </c>
      <c r="AI727" s="16">
        <f>SUM(Z728:Z769)</f>
        <v>0</v>
      </c>
      <c r="AJ727" s="16">
        <f>SUM(AA728:AA769)</f>
        <v>0</v>
      </c>
      <c r="AK727" s="16">
        <f>SUM(AB728:AB769)</f>
        <v>0</v>
      </c>
    </row>
    <row r="728" spans="1:48" ht="12.75">
      <c r="A728" s="99" t="s">
        <v>254</v>
      </c>
      <c r="B728" s="99" t="s">
        <v>407</v>
      </c>
      <c r="C728" s="99" t="s">
        <v>426</v>
      </c>
      <c r="D728" s="99" t="s">
        <v>807</v>
      </c>
      <c r="E728" s="99" t="s">
        <v>1639</v>
      </c>
      <c r="F728" s="100">
        <v>8.31</v>
      </c>
      <c r="G728" s="100">
        <v>0</v>
      </c>
      <c r="H728" s="100">
        <f>F728*AE728</f>
        <v>0</v>
      </c>
      <c r="I728" s="100">
        <f>J728-H728</f>
        <v>0</v>
      </c>
      <c r="J728" s="100">
        <f>F728*G728</f>
        <v>0</v>
      </c>
      <c r="K728" s="100">
        <v>2.525</v>
      </c>
      <c r="L728" s="100">
        <f>F728*K728</f>
        <v>20.98275</v>
      </c>
      <c r="M728" s="101" t="s">
        <v>1667</v>
      </c>
      <c r="P728" s="14">
        <f>IF(AG728="5",J728,0)</f>
        <v>0</v>
      </c>
      <c r="R728" s="14">
        <f>IF(AG728="1",H728,0)</f>
        <v>0</v>
      </c>
      <c r="S728" s="14">
        <f>IF(AG728="1",I728,0)</f>
        <v>0</v>
      </c>
      <c r="T728" s="14">
        <f>IF(AG728="7",H728,0)</f>
        <v>0</v>
      </c>
      <c r="U728" s="14">
        <f>IF(AG728="7",I728,0)</f>
        <v>0</v>
      </c>
      <c r="V728" s="14">
        <f>IF(AG728="2",H728,0)</f>
        <v>0</v>
      </c>
      <c r="W728" s="14">
        <f>IF(AG728="2",I728,0)</f>
        <v>0</v>
      </c>
      <c r="X728" s="14">
        <f>IF(AG728="0",J728,0)</f>
        <v>0</v>
      </c>
      <c r="Y728" s="8" t="s">
        <v>407</v>
      </c>
      <c r="Z728" s="5">
        <f>IF(AD728=0,J728,0)</f>
        <v>0</v>
      </c>
      <c r="AA728" s="5">
        <f>IF(AD728=15,J728,0)</f>
        <v>0</v>
      </c>
      <c r="AB728" s="5">
        <f>IF(AD728=21,J728,0)</f>
        <v>0</v>
      </c>
      <c r="AD728" s="14">
        <v>15</v>
      </c>
      <c r="AE728" s="14">
        <f>G728*0.90135139169037</f>
        <v>0</v>
      </c>
      <c r="AF728" s="14">
        <f>G728*(1-0.90135139169037)</f>
        <v>0</v>
      </c>
      <c r="AG728" s="10" t="s">
        <v>7</v>
      </c>
      <c r="AM728" s="14">
        <f>F728*AE728</f>
        <v>0</v>
      </c>
      <c r="AN728" s="14">
        <f>F728*AF728</f>
        <v>0</v>
      </c>
      <c r="AO728" s="15" t="s">
        <v>1685</v>
      </c>
      <c r="AP728" s="15" t="s">
        <v>1740</v>
      </c>
      <c r="AQ728" s="8" t="s">
        <v>1770</v>
      </c>
      <c r="AS728" s="14">
        <f>AM728+AN728</f>
        <v>0</v>
      </c>
      <c r="AT728" s="14">
        <f>G728/(100-AU728)*100</f>
        <v>0</v>
      </c>
      <c r="AU728" s="14">
        <v>0</v>
      </c>
      <c r="AV728" s="14">
        <f>L728</f>
        <v>20.98275</v>
      </c>
    </row>
    <row r="729" spans="1:13" ht="12.75">
      <c r="A729" s="102"/>
      <c r="B729" s="102"/>
      <c r="C729" s="102"/>
      <c r="D729" s="103" t="s">
        <v>1394</v>
      </c>
      <c r="E729" s="102"/>
      <c r="F729" s="104">
        <v>1.31</v>
      </c>
      <c r="G729" s="102"/>
      <c r="H729" s="102"/>
      <c r="I729" s="102"/>
      <c r="J729" s="102"/>
      <c r="K729" s="102"/>
      <c r="L729" s="102"/>
      <c r="M729" s="102"/>
    </row>
    <row r="730" spans="1:13" ht="12.75">
      <c r="A730" s="102"/>
      <c r="B730" s="102"/>
      <c r="C730" s="102"/>
      <c r="D730" s="103" t="s">
        <v>1395</v>
      </c>
      <c r="E730" s="102"/>
      <c r="F730" s="104">
        <v>0.19</v>
      </c>
      <c r="G730" s="102"/>
      <c r="H730" s="102"/>
      <c r="I730" s="102"/>
      <c r="J730" s="102"/>
      <c r="K730" s="102"/>
      <c r="L730" s="102"/>
      <c r="M730" s="102"/>
    </row>
    <row r="731" spans="1:13" ht="12.75">
      <c r="A731" s="102"/>
      <c r="B731" s="102"/>
      <c r="C731" s="102"/>
      <c r="D731" s="103" t="s">
        <v>1396</v>
      </c>
      <c r="E731" s="102"/>
      <c r="F731" s="104">
        <v>0</v>
      </c>
      <c r="G731" s="102"/>
      <c r="H731" s="102"/>
      <c r="I731" s="102"/>
      <c r="J731" s="102"/>
      <c r="K731" s="102"/>
      <c r="L731" s="102"/>
      <c r="M731" s="102"/>
    </row>
    <row r="732" spans="1:13" ht="12.75">
      <c r="A732" s="102"/>
      <c r="B732" s="102"/>
      <c r="C732" s="102"/>
      <c r="D732" s="103" t="s">
        <v>1397</v>
      </c>
      <c r="E732" s="102"/>
      <c r="F732" s="104">
        <v>0.24</v>
      </c>
      <c r="G732" s="102"/>
      <c r="H732" s="102"/>
      <c r="I732" s="102"/>
      <c r="J732" s="102"/>
      <c r="K732" s="102"/>
      <c r="L732" s="102"/>
      <c r="M732" s="102"/>
    </row>
    <row r="733" spans="1:13" ht="12.75">
      <c r="A733" s="102"/>
      <c r="B733" s="102"/>
      <c r="C733" s="102"/>
      <c r="D733" s="103" t="s">
        <v>1398</v>
      </c>
      <c r="E733" s="102"/>
      <c r="F733" s="104">
        <v>1.61</v>
      </c>
      <c r="G733" s="102"/>
      <c r="H733" s="102"/>
      <c r="I733" s="102"/>
      <c r="J733" s="102"/>
      <c r="K733" s="102"/>
      <c r="L733" s="102"/>
      <c r="M733" s="102"/>
    </row>
    <row r="734" spans="1:13" ht="12.75">
      <c r="A734" s="102"/>
      <c r="B734" s="102"/>
      <c r="C734" s="102"/>
      <c r="D734" s="103" t="s">
        <v>1397</v>
      </c>
      <c r="E734" s="102"/>
      <c r="F734" s="104">
        <v>0.24</v>
      </c>
      <c r="G734" s="102"/>
      <c r="H734" s="102"/>
      <c r="I734" s="102"/>
      <c r="J734" s="102"/>
      <c r="K734" s="102"/>
      <c r="L734" s="102"/>
      <c r="M734" s="102"/>
    </row>
    <row r="735" spans="1:13" ht="12.75">
      <c r="A735" s="102"/>
      <c r="B735" s="102"/>
      <c r="C735" s="102"/>
      <c r="D735" s="103" t="s">
        <v>1399</v>
      </c>
      <c r="E735" s="102"/>
      <c r="F735" s="104">
        <v>1.44</v>
      </c>
      <c r="G735" s="102"/>
      <c r="H735" s="102"/>
      <c r="I735" s="102"/>
      <c r="J735" s="102"/>
      <c r="K735" s="102"/>
      <c r="L735" s="102"/>
      <c r="M735" s="102"/>
    </row>
    <row r="736" spans="1:13" ht="12.75">
      <c r="A736" s="102"/>
      <c r="B736" s="102"/>
      <c r="C736" s="102"/>
      <c r="D736" s="103" t="s">
        <v>1395</v>
      </c>
      <c r="E736" s="102"/>
      <c r="F736" s="104">
        <v>0.19</v>
      </c>
      <c r="G736" s="102"/>
      <c r="H736" s="102"/>
      <c r="I736" s="102"/>
      <c r="J736" s="102"/>
      <c r="K736" s="102"/>
      <c r="L736" s="102"/>
      <c r="M736" s="102"/>
    </row>
    <row r="737" spans="1:13" ht="12.75">
      <c r="A737" s="102"/>
      <c r="B737" s="102"/>
      <c r="C737" s="102"/>
      <c r="D737" s="103" t="s">
        <v>1400</v>
      </c>
      <c r="E737" s="102"/>
      <c r="F737" s="104">
        <v>0.53</v>
      </c>
      <c r="G737" s="102"/>
      <c r="H737" s="102"/>
      <c r="I737" s="102"/>
      <c r="J737" s="102"/>
      <c r="K737" s="102"/>
      <c r="L737" s="102"/>
      <c r="M737" s="102"/>
    </row>
    <row r="738" spans="1:13" ht="12.75">
      <c r="A738" s="102"/>
      <c r="B738" s="102"/>
      <c r="C738" s="102"/>
      <c r="D738" s="103" t="s">
        <v>1397</v>
      </c>
      <c r="E738" s="102"/>
      <c r="F738" s="104">
        <v>0.24</v>
      </c>
      <c r="G738" s="102"/>
      <c r="H738" s="102"/>
      <c r="I738" s="102"/>
      <c r="J738" s="102"/>
      <c r="K738" s="102"/>
      <c r="L738" s="102"/>
      <c r="M738" s="102"/>
    </row>
    <row r="739" spans="1:13" ht="12.75">
      <c r="A739" s="102"/>
      <c r="B739" s="102"/>
      <c r="C739" s="102"/>
      <c r="D739" s="103" t="s">
        <v>1401</v>
      </c>
      <c r="E739" s="102"/>
      <c r="F739" s="104">
        <v>2.08</v>
      </c>
      <c r="G739" s="102"/>
      <c r="H739" s="102"/>
      <c r="I739" s="102"/>
      <c r="J739" s="102"/>
      <c r="K739" s="102"/>
      <c r="L739" s="102"/>
      <c r="M739" s="102"/>
    </row>
    <row r="740" spans="1:13" ht="12.75">
      <c r="A740" s="102"/>
      <c r="B740" s="102"/>
      <c r="C740" s="102"/>
      <c r="D740" s="103" t="s">
        <v>1397</v>
      </c>
      <c r="E740" s="102"/>
      <c r="F740" s="104">
        <v>0.24</v>
      </c>
      <c r="G740" s="102"/>
      <c r="H740" s="102"/>
      <c r="I740" s="102"/>
      <c r="J740" s="102"/>
      <c r="K740" s="102"/>
      <c r="L740" s="102"/>
      <c r="M740" s="102"/>
    </row>
    <row r="741" spans="1:48" ht="12.75">
      <c r="A741" s="99" t="s">
        <v>255</v>
      </c>
      <c r="B741" s="99" t="s">
        <v>407</v>
      </c>
      <c r="C741" s="99" t="s">
        <v>427</v>
      </c>
      <c r="D741" s="99" t="s">
        <v>815</v>
      </c>
      <c r="E741" s="99" t="s">
        <v>1640</v>
      </c>
      <c r="F741" s="100">
        <v>14.3</v>
      </c>
      <c r="G741" s="100">
        <v>0</v>
      </c>
      <c r="H741" s="100">
        <f>F741*AE741</f>
        <v>0</v>
      </c>
      <c r="I741" s="100">
        <f>J741-H741</f>
        <v>0</v>
      </c>
      <c r="J741" s="100">
        <f>F741*G741</f>
        <v>0</v>
      </c>
      <c r="K741" s="100">
        <v>0.03634</v>
      </c>
      <c r="L741" s="100">
        <f>F741*K741</f>
        <v>0.519662</v>
      </c>
      <c r="M741" s="101" t="s">
        <v>1667</v>
      </c>
      <c r="P741" s="14">
        <f>IF(AG741="5",J741,0)</f>
        <v>0</v>
      </c>
      <c r="R741" s="14">
        <f>IF(AG741="1",H741,0)</f>
        <v>0</v>
      </c>
      <c r="S741" s="14">
        <f>IF(AG741="1",I741,0)</f>
        <v>0</v>
      </c>
      <c r="T741" s="14">
        <f>IF(AG741="7",H741,0)</f>
        <v>0</v>
      </c>
      <c r="U741" s="14">
        <f>IF(AG741="7",I741,0)</f>
        <v>0</v>
      </c>
      <c r="V741" s="14">
        <f>IF(AG741="2",H741,0)</f>
        <v>0</v>
      </c>
      <c r="W741" s="14">
        <f>IF(AG741="2",I741,0)</f>
        <v>0</v>
      </c>
      <c r="X741" s="14">
        <f>IF(AG741="0",J741,0)</f>
        <v>0</v>
      </c>
      <c r="Y741" s="8" t="s">
        <v>407</v>
      </c>
      <c r="Z741" s="5">
        <f>IF(AD741=0,J741,0)</f>
        <v>0</v>
      </c>
      <c r="AA741" s="5">
        <f>IF(AD741=15,J741,0)</f>
        <v>0</v>
      </c>
      <c r="AB741" s="5">
        <f>IF(AD741=21,J741,0)</f>
        <v>0</v>
      </c>
      <c r="AD741" s="14">
        <v>15</v>
      </c>
      <c r="AE741" s="14">
        <f>G741*0.698845401174168</f>
        <v>0</v>
      </c>
      <c r="AF741" s="14">
        <f>G741*(1-0.698845401174168)</f>
        <v>0</v>
      </c>
      <c r="AG741" s="10" t="s">
        <v>7</v>
      </c>
      <c r="AM741" s="14">
        <f>F741*AE741</f>
        <v>0</v>
      </c>
      <c r="AN741" s="14">
        <f>F741*AF741</f>
        <v>0</v>
      </c>
      <c r="AO741" s="15" t="s">
        <v>1685</v>
      </c>
      <c r="AP741" s="15" t="s">
        <v>1740</v>
      </c>
      <c r="AQ741" s="8" t="s">
        <v>1770</v>
      </c>
      <c r="AS741" s="14">
        <f>AM741+AN741</f>
        <v>0</v>
      </c>
      <c r="AT741" s="14">
        <f>G741/(100-AU741)*100</f>
        <v>0</v>
      </c>
      <c r="AU741" s="14">
        <v>0</v>
      </c>
      <c r="AV741" s="14">
        <f>L741</f>
        <v>0.519662</v>
      </c>
    </row>
    <row r="742" spans="1:13" ht="12.75">
      <c r="A742" s="102"/>
      <c r="B742" s="102"/>
      <c r="C742" s="102"/>
      <c r="D742" s="103" t="s">
        <v>1402</v>
      </c>
      <c r="E742" s="102"/>
      <c r="F742" s="104">
        <v>14.3</v>
      </c>
      <c r="G742" s="102"/>
      <c r="H742" s="102"/>
      <c r="I742" s="102"/>
      <c r="J742" s="102"/>
      <c r="K742" s="102"/>
      <c r="L742" s="102"/>
      <c r="M742" s="102"/>
    </row>
    <row r="743" spans="1:48" ht="12.75">
      <c r="A743" s="99" t="s">
        <v>256</v>
      </c>
      <c r="B743" s="99" t="s">
        <v>407</v>
      </c>
      <c r="C743" s="99" t="s">
        <v>428</v>
      </c>
      <c r="D743" s="99" t="s">
        <v>816</v>
      </c>
      <c r="E743" s="99" t="s">
        <v>1640</v>
      </c>
      <c r="F743" s="100">
        <v>14.3</v>
      </c>
      <c r="G743" s="100">
        <v>0</v>
      </c>
      <c r="H743" s="100">
        <f>F743*AE743</f>
        <v>0</v>
      </c>
      <c r="I743" s="100">
        <f>J743-H743</f>
        <v>0</v>
      </c>
      <c r="J743" s="100">
        <f>F743*G743</f>
        <v>0</v>
      </c>
      <c r="K743" s="100">
        <v>0</v>
      </c>
      <c r="L743" s="100">
        <f>F743*K743</f>
        <v>0</v>
      </c>
      <c r="M743" s="101" t="s">
        <v>1667</v>
      </c>
      <c r="P743" s="14">
        <f>IF(AG743="5",J743,0)</f>
        <v>0</v>
      </c>
      <c r="R743" s="14">
        <f>IF(AG743="1",H743,0)</f>
        <v>0</v>
      </c>
      <c r="S743" s="14">
        <f>IF(AG743="1",I743,0)</f>
        <v>0</v>
      </c>
      <c r="T743" s="14">
        <f>IF(AG743="7",H743,0)</f>
        <v>0</v>
      </c>
      <c r="U743" s="14">
        <f>IF(AG743="7",I743,0)</f>
        <v>0</v>
      </c>
      <c r="V743" s="14">
        <f>IF(AG743="2",H743,0)</f>
        <v>0</v>
      </c>
      <c r="W743" s="14">
        <f>IF(AG743="2",I743,0)</f>
        <v>0</v>
      </c>
      <c r="X743" s="14">
        <f>IF(AG743="0",J743,0)</f>
        <v>0</v>
      </c>
      <c r="Y743" s="8" t="s">
        <v>407</v>
      </c>
      <c r="Z743" s="5">
        <f>IF(AD743=0,J743,0)</f>
        <v>0</v>
      </c>
      <c r="AA743" s="5">
        <f>IF(AD743=15,J743,0)</f>
        <v>0</v>
      </c>
      <c r="AB743" s="5">
        <f>IF(AD743=21,J743,0)</f>
        <v>0</v>
      </c>
      <c r="AD743" s="14">
        <v>15</v>
      </c>
      <c r="AE743" s="14">
        <f>G743*0</f>
        <v>0</v>
      </c>
      <c r="AF743" s="14">
        <f>G743*(1-0)</f>
        <v>0</v>
      </c>
      <c r="AG743" s="10" t="s">
        <v>7</v>
      </c>
      <c r="AM743" s="14">
        <f>F743*AE743</f>
        <v>0</v>
      </c>
      <c r="AN743" s="14">
        <f>F743*AF743</f>
        <v>0</v>
      </c>
      <c r="AO743" s="15" t="s">
        <v>1685</v>
      </c>
      <c r="AP743" s="15" t="s">
        <v>1740</v>
      </c>
      <c r="AQ743" s="8" t="s">
        <v>1770</v>
      </c>
      <c r="AS743" s="14">
        <f>AM743+AN743</f>
        <v>0</v>
      </c>
      <c r="AT743" s="14">
        <f>G743/(100-AU743)*100</f>
        <v>0</v>
      </c>
      <c r="AU743" s="14">
        <v>0</v>
      </c>
      <c r="AV743" s="14">
        <f>L743</f>
        <v>0</v>
      </c>
    </row>
    <row r="744" spans="1:48" ht="12.75">
      <c r="A744" s="99" t="s">
        <v>257</v>
      </c>
      <c r="B744" s="99" t="s">
        <v>407</v>
      </c>
      <c r="C744" s="99" t="s">
        <v>672</v>
      </c>
      <c r="D744" s="99" t="s">
        <v>1403</v>
      </c>
      <c r="E744" s="99" t="s">
        <v>1640</v>
      </c>
      <c r="F744" s="100">
        <v>21.37</v>
      </c>
      <c r="G744" s="100">
        <v>0</v>
      </c>
      <c r="H744" s="100">
        <f>F744*AE744</f>
        <v>0</v>
      </c>
      <c r="I744" s="100">
        <f>J744-H744</f>
        <v>0</v>
      </c>
      <c r="J744" s="100">
        <f>F744*G744</f>
        <v>0</v>
      </c>
      <c r="K744" s="100">
        <v>0.74</v>
      </c>
      <c r="L744" s="100">
        <f>F744*K744</f>
        <v>15.8138</v>
      </c>
      <c r="M744" s="101" t="s">
        <v>1667</v>
      </c>
      <c r="P744" s="14">
        <f>IF(AG744="5",J744,0)</f>
        <v>0</v>
      </c>
      <c r="R744" s="14">
        <f>IF(AG744="1",H744,0)</f>
        <v>0</v>
      </c>
      <c r="S744" s="14">
        <f>IF(AG744="1",I744,0)</f>
        <v>0</v>
      </c>
      <c r="T744" s="14">
        <f>IF(AG744="7",H744,0)</f>
        <v>0</v>
      </c>
      <c r="U744" s="14">
        <f>IF(AG744="7",I744,0)</f>
        <v>0</v>
      </c>
      <c r="V744" s="14">
        <f>IF(AG744="2",H744,0)</f>
        <v>0</v>
      </c>
      <c r="W744" s="14">
        <f>IF(AG744="2",I744,0)</f>
        <v>0</v>
      </c>
      <c r="X744" s="14">
        <f>IF(AG744="0",J744,0)</f>
        <v>0</v>
      </c>
      <c r="Y744" s="8" t="s">
        <v>407</v>
      </c>
      <c r="Z744" s="5">
        <f>IF(AD744=0,J744,0)</f>
        <v>0</v>
      </c>
      <c r="AA744" s="5">
        <f>IF(AD744=15,J744,0)</f>
        <v>0</v>
      </c>
      <c r="AB744" s="5">
        <f>IF(AD744=21,J744,0)</f>
        <v>0</v>
      </c>
      <c r="AD744" s="14">
        <v>15</v>
      </c>
      <c r="AE744" s="14">
        <f>G744*0.684816</f>
        <v>0</v>
      </c>
      <c r="AF744" s="14">
        <f>G744*(1-0.684816)</f>
        <v>0</v>
      </c>
      <c r="AG744" s="10" t="s">
        <v>7</v>
      </c>
      <c r="AM744" s="14">
        <f>F744*AE744</f>
        <v>0</v>
      </c>
      <c r="AN744" s="14">
        <f>F744*AF744</f>
        <v>0</v>
      </c>
      <c r="AO744" s="15" t="s">
        <v>1685</v>
      </c>
      <c r="AP744" s="15" t="s">
        <v>1740</v>
      </c>
      <c r="AQ744" s="8" t="s">
        <v>1770</v>
      </c>
      <c r="AS744" s="14">
        <f>AM744+AN744</f>
        <v>0</v>
      </c>
      <c r="AT744" s="14">
        <f>G744/(100-AU744)*100</f>
        <v>0</v>
      </c>
      <c r="AU744" s="14">
        <v>0</v>
      </c>
      <c r="AV744" s="14">
        <f>L744</f>
        <v>15.8138</v>
      </c>
    </row>
    <row r="745" spans="1:13" ht="12.75">
      <c r="A745" s="102"/>
      <c r="B745" s="102"/>
      <c r="C745" s="102"/>
      <c r="D745" s="103" t="s">
        <v>1404</v>
      </c>
      <c r="E745" s="102"/>
      <c r="F745" s="104">
        <v>3.85</v>
      </c>
      <c r="G745" s="102"/>
      <c r="H745" s="102"/>
      <c r="I745" s="102"/>
      <c r="J745" s="102"/>
      <c r="K745" s="102"/>
      <c r="L745" s="102"/>
      <c r="M745" s="102"/>
    </row>
    <row r="746" spans="1:13" ht="12.75">
      <c r="A746" s="102"/>
      <c r="B746" s="102"/>
      <c r="C746" s="102"/>
      <c r="D746" s="103" t="s">
        <v>1405</v>
      </c>
      <c r="E746" s="102"/>
      <c r="F746" s="104">
        <v>0.38</v>
      </c>
      <c r="G746" s="102"/>
      <c r="H746" s="102"/>
      <c r="I746" s="102"/>
      <c r="J746" s="102"/>
      <c r="K746" s="102"/>
      <c r="L746" s="102"/>
      <c r="M746" s="102"/>
    </row>
    <row r="747" spans="1:13" ht="12.75">
      <c r="A747" s="102"/>
      <c r="B747" s="102"/>
      <c r="C747" s="102"/>
      <c r="D747" s="103" t="s">
        <v>1406</v>
      </c>
      <c r="E747" s="102"/>
      <c r="F747" s="104">
        <v>1.13</v>
      </c>
      <c r="G747" s="102"/>
      <c r="H747" s="102"/>
      <c r="I747" s="102"/>
      <c r="J747" s="102"/>
      <c r="K747" s="102"/>
      <c r="L747" s="102"/>
      <c r="M747" s="102"/>
    </row>
    <row r="748" spans="1:13" ht="12.75">
      <c r="A748" s="102"/>
      <c r="B748" s="102"/>
      <c r="C748" s="102"/>
      <c r="D748" s="103" t="s">
        <v>1407</v>
      </c>
      <c r="E748" s="102"/>
      <c r="F748" s="104">
        <v>0.25</v>
      </c>
      <c r="G748" s="102"/>
      <c r="H748" s="102"/>
      <c r="I748" s="102"/>
      <c r="J748" s="102"/>
      <c r="K748" s="102"/>
      <c r="L748" s="102"/>
      <c r="M748" s="102"/>
    </row>
    <row r="749" spans="1:13" ht="12.75">
      <c r="A749" s="102"/>
      <c r="B749" s="102"/>
      <c r="C749" s="102"/>
      <c r="D749" s="103" t="s">
        <v>1408</v>
      </c>
      <c r="E749" s="102"/>
      <c r="F749" s="104">
        <v>2.3</v>
      </c>
      <c r="G749" s="102"/>
      <c r="H749" s="102"/>
      <c r="I749" s="102"/>
      <c r="J749" s="102"/>
      <c r="K749" s="102"/>
      <c r="L749" s="102"/>
      <c r="M749" s="102"/>
    </row>
    <row r="750" spans="1:13" ht="12.75">
      <c r="A750" s="102"/>
      <c r="B750" s="102"/>
      <c r="C750" s="102"/>
      <c r="D750" s="103" t="s">
        <v>1407</v>
      </c>
      <c r="E750" s="102"/>
      <c r="F750" s="104">
        <v>0.25</v>
      </c>
      <c r="G750" s="102"/>
      <c r="H750" s="102"/>
      <c r="I750" s="102"/>
      <c r="J750" s="102"/>
      <c r="K750" s="102"/>
      <c r="L750" s="102"/>
      <c r="M750" s="102"/>
    </row>
    <row r="751" spans="1:13" ht="12.75">
      <c r="A751" s="102"/>
      <c r="B751" s="102"/>
      <c r="C751" s="102"/>
      <c r="D751" s="103" t="s">
        <v>1409</v>
      </c>
      <c r="E751" s="102"/>
      <c r="F751" s="104">
        <v>3.08</v>
      </c>
      <c r="G751" s="102"/>
      <c r="H751" s="102"/>
      <c r="I751" s="102"/>
      <c r="J751" s="102"/>
      <c r="K751" s="102"/>
      <c r="L751" s="102"/>
      <c r="M751" s="102"/>
    </row>
    <row r="752" spans="1:13" ht="12.75">
      <c r="A752" s="102"/>
      <c r="B752" s="102"/>
      <c r="C752" s="102"/>
      <c r="D752" s="103" t="s">
        <v>1405</v>
      </c>
      <c r="E752" s="102"/>
      <c r="F752" s="104">
        <v>0.38</v>
      </c>
      <c r="G752" s="102"/>
      <c r="H752" s="102"/>
      <c r="I752" s="102"/>
      <c r="J752" s="102"/>
      <c r="K752" s="102"/>
      <c r="L752" s="102"/>
      <c r="M752" s="102"/>
    </row>
    <row r="753" spans="1:13" ht="12.75">
      <c r="A753" s="102"/>
      <c r="B753" s="102"/>
      <c r="C753" s="102"/>
      <c r="D753" s="103" t="s">
        <v>1410</v>
      </c>
      <c r="E753" s="102"/>
      <c r="F753" s="104">
        <v>1.5</v>
      </c>
      <c r="G753" s="102"/>
      <c r="H753" s="102"/>
      <c r="I753" s="102"/>
      <c r="J753" s="102"/>
      <c r="K753" s="102"/>
      <c r="L753" s="102"/>
      <c r="M753" s="102"/>
    </row>
    <row r="754" spans="1:13" ht="12.75">
      <c r="A754" s="102"/>
      <c r="B754" s="102"/>
      <c r="C754" s="102"/>
      <c r="D754" s="103" t="s">
        <v>1411</v>
      </c>
      <c r="E754" s="102"/>
      <c r="F754" s="104">
        <v>0.5</v>
      </c>
      <c r="G754" s="102"/>
      <c r="H754" s="102"/>
      <c r="I754" s="102"/>
      <c r="J754" s="102"/>
      <c r="K754" s="102"/>
      <c r="L754" s="102"/>
      <c r="M754" s="102"/>
    </row>
    <row r="755" spans="1:13" ht="12.75">
      <c r="A755" s="102"/>
      <c r="B755" s="102"/>
      <c r="C755" s="102"/>
      <c r="D755" s="103" t="s">
        <v>1412</v>
      </c>
      <c r="E755" s="102"/>
      <c r="F755" s="104">
        <v>7.25</v>
      </c>
      <c r="G755" s="102"/>
      <c r="H755" s="102"/>
      <c r="I755" s="102"/>
      <c r="J755" s="102"/>
      <c r="K755" s="102"/>
      <c r="L755" s="102"/>
      <c r="M755" s="102"/>
    </row>
    <row r="756" spans="1:13" ht="12.75">
      <c r="A756" s="102"/>
      <c r="B756" s="102"/>
      <c r="C756" s="102"/>
      <c r="D756" s="103" t="s">
        <v>1411</v>
      </c>
      <c r="E756" s="102"/>
      <c r="F756" s="104">
        <v>0.5</v>
      </c>
      <c r="G756" s="102"/>
      <c r="H756" s="102"/>
      <c r="I756" s="102"/>
      <c r="J756" s="102"/>
      <c r="K756" s="102"/>
      <c r="L756" s="102"/>
      <c r="M756" s="102"/>
    </row>
    <row r="757" spans="1:48" ht="12.75">
      <c r="A757" s="99" t="s">
        <v>258</v>
      </c>
      <c r="B757" s="99" t="s">
        <v>407</v>
      </c>
      <c r="C757" s="99" t="s">
        <v>432</v>
      </c>
      <c r="D757" s="99" t="s">
        <v>830</v>
      </c>
      <c r="E757" s="99" t="s">
        <v>1642</v>
      </c>
      <c r="F757" s="100">
        <v>0.17</v>
      </c>
      <c r="G757" s="100">
        <v>0</v>
      </c>
      <c r="H757" s="100">
        <f>F757*AE757</f>
        <v>0</v>
      </c>
      <c r="I757" s="100">
        <f>J757-H757</f>
        <v>0</v>
      </c>
      <c r="J757" s="100">
        <f>F757*G757</f>
        <v>0</v>
      </c>
      <c r="K757" s="100">
        <v>1.02116</v>
      </c>
      <c r="L757" s="100">
        <f>F757*K757</f>
        <v>0.17359720000000003</v>
      </c>
      <c r="M757" s="101" t="s">
        <v>1667</v>
      </c>
      <c r="P757" s="14">
        <f>IF(AG757="5",J757,0)</f>
        <v>0</v>
      </c>
      <c r="R757" s="14">
        <f>IF(AG757="1",H757,0)</f>
        <v>0</v>
      </c>
      <c r="S757" s="14">
        <f>IF(AG757="1",I757,0)</f>
        <v>0</v>
      </c>
      <c r="T757" s="14">
        <f>IF(AG757="7",H757,0)</f>
        <v>0</v>
      </c>
      <c r="U757" s="14">
        <f>IF(AG757="7",I757,0)</f>
        <v>0</v>
      </c>
      <c r="V757" s="14">
        <f>IF(AG757="2",H757,0)</f>
        <v>0</v>
      </c>
      <c r="W757" s="14">
        <f>IF(AG757="2",I757,0)</f>
        <v>0</v>
      </c>
      <c r="X757" s="14">
        <f>IF(AG757="0",J757,0)</f>
        <v>0</v>
      </c>
      <c r="Y757" s="8" t="s">
        <v>407</v>
      </c>
      <c r="Z757" s="5">
        <f>IF(AD757=0,J757,0)</f>
        <v>0</v>
      </c>
      <c r="AA757" s="5">
        <f>IF(AD757=15,J757,0)</f>
        <v>0</v>
      </c>
      <c r="AB757" s="5">
        <f>IF(AD757=21,J757,0)</f>
        <v>0</v>
      </c>
      <c r="AD757" s="14">
        <v>15</v>
      </c>
      <c r="AE757" s="14">
        <f>G757*0.700833073808782</f>
        <v>0</v>
      </c>
      <c r="AF757" s="14">
        <f>G757*(1-0.700833073808782)</f>
        <v>0</v>
      </c>
      <c r="AG757" s="10" t="s">
        <v>7</v>
      </c>
      <c r="AM757" s="14">
        <f>F757*AE757</f>
        <v>0</v>
      </c>
      <c r="AN757" s="14">
        <f>F757*AF757</f>
        <v>0</v>
      </c>
      <c r="AO757" s="15" t="s">
        <v>1685</v>
      </c>
      <c r="AP757" s="15" t="s">
        <v>1740</v>
      </c>
      <c r="AQ757" s="8" t="s">
        <v>1770</v>
      </c>
      <c r="AS757" s="14">
        <f>AM757+AN757</f>
        <v>0</v>
      </c>
      <c r="AT757" s="14">
        <f>G757/(100-AU757)*100</f>
        <v>0</v>
      </c>
      <c r="AU757" s="14">
        <v>0</v>
      </c>
      <c r="AV757" s="14">
        <f>L757</f>
        <v>0.17359720000000003</v>
      </c>
    </row>
    <row r="758" spans="1:48" ht="12.75">
      <c r="A758" s="99" t="s">
        <v>259</v>
      </c>
      <c r="B758" s="99" t="s">
        <v>407</v>
      </c>
      <c r="C758" s="99" t="s">
        <v>430</v>
      </c>
      <c r="D758" s="99" t="s">
        <v>818</v>
      </c>
      <c r="E758" s="99" t="s">
        <v>1639</v>
      </c>
      <c r="F758" s="100">
        <v>22.9</v>
      </c>
      <c r="G758" s="100">
        <v>0</v>
      </c>
      <c r="H758" s="100">
        <f>F758*AE758</f>
        <v>0</v>
      </c>
      <c r="I758" s="100">
        <f>J758-H758</f>
        <v>0</v>
      </c>
      <c r="J758" s="100">
        <f>F758*G758</f>
        <v>0</v>
      </c>
      <c r="K758" s="100">
        <v>1.78164</v>
      </c>
      <c r="L758" s="100">
        <f>F758*K758</f>
        <v>40.799555999999995</v>
      </c>
      <c r="M758" s="101" t="s">
        <v>1667</v>
      </c>
      <c r="P758" s="14">
        <f>IF(AG758="5",J758,0)</f>
        <v>0</v>
      </c>
      <c r="R758" s="14">
        <f>IF(AG758="1",H758,0)</f>
        <v>0</v>
      </c>
      <c r="S758" s="14">
        <f>IF(AG758="1",I758,0)</f>
        <v>0</v>
      </c>
      <c r="T758" s="14">
        <f>IF(AG758="7",H758,0)</f>
        <v>0</v>
      </c>
      <c r="U758" s="14">
        <f>IF(AG758="7",I758,0)</f>
        <v>0</v>
      </c>
      <c r="V758" s="14">
        <f>IF(AG758="2",H758,0)</f>
        <v>0</v>
      </c>
      <c r="W758" s="14">
        <f>IF(AG758="2",I758,0)</f>
        <v>0</v>
      </c>
      <c r="X758" s="14">
        <f>IF(AG758="0",J758,0)</f>
        <v>0</v>
      </c>
      <c r="Y758" s="8" t="s">
        <v>407</v>
      </c>
      <c r="Z758" s="5">
        <f>IF(AD758=0,J758,0)</f>
        <v>0</v>
      </c>
      <c r="AA758" s="5">
        <f>IF(AD758=15,J758,0)</f>
        <v>0</v>
      </c>
      <c r="AB758" s="5">
        <f>IF(AD758=21,J758,0)</f>
        <v>0</v>
      </c>
      <c r="AD758" s="14">
        <v>15</v>
      </c>
      <c r="AE758" s="14">
        <f>G758*0.645061755071349</f>
        <v>0</v>
      </c>
      <c r="AF758" s="14">
        <f>G758*(1-0.645061755071349)</f>
        <v>0</v>
      </c>
      <c r="AG758" s="10" t="s">
        <v>7</v>
      </c>
      <c r="AM758" s="14">
        <f>F758*AE758</f>
        <v>0</v>
      </c>
      <c r="AN758" s="14">
        <f>F758*AF758</f>
        <v>0</v>
      </c>
      <c r="AO758" s="15" t="s">
        <v>1685</v>
      </c>
      <c r="AP758" s="15" t="s">
        <v>1740</v>
      </c>
      <c r="AQ758" s="8" t="s">
        <v>1770</v>
      </c>
      <c r="AS758" s="14">
        <f>AM758+AN758</f>
        <v>0</v>
      </c>
      <c r="AT758" s="14">
        <f>G758/(100-AU758)*100</f>
        <v>0</v>
      </c>
      <c r="AU758" s="14">
        <v>0</v>
      </c>
      <c r="AV758" s="14">
        <f>L758</f>
        <v>40.799555999999995</v>
      </c>
    </row>
    <row r="759" spans="1:13" ht="12.75">
      <c r="A759" s="102"/>
      <c r="B759" s="102"/>
      <c r="C759" s="102"/>
      <c r="D759" s="103" t="s">
        <v>1413</v>
      </c>
      <c r="E759" s="102"/>
      <c r="F759" s="104">
        <v>37.9</v>
      </c>
      <c r="G759" s="102"/>
      <c r="H759" s="102"/>
      <c r="I759" s="102"/>
      <c r="J759" s="102"/>
      <c r="K759" s="102"/>
      <c r="L759" s="102"/>
      <c r="M759" s="102"/>
    </row>
    <row r="760" spans="1:13" ht="12.75">
      <c r="A760" s="102"/>
      <c r="B760" s="102"/>
      <c r="C760" s="102"/>
      <c r="D760" s="103" t="s">
        <v>1414</v>
      </c>
      <c r="E760" s="102"/>
      <c r="F760" s="104">
        <v>-15</v>
      </c>
      <c r="G760" s="102"/>
      <c r="H760" s="102"/>
      <c r="I760" s="102"/>
      <c r="J760" s="102"/>
      <c r="K760" s="102"/>
      <c r="L760" s="102"/>
      <c r="M760" s="102"/>
    </row>
    <row r="761" spans="1:48" ht="12.75">
      <c r="A761" s="99" t="s">
        <v>260</v>
      </c>
      <c r="B761" s="99" t="s">
        <v>407</v>
      </c>
      <c r="C761" s="99" t="s">
        <v>673</v>
      </c>
      <c r="D761" s="99" t="s">
        <v>1415</v>
      </c>
      <c r="E761" s="99" t="s">
        <v>1639</v>
      </c>
      <c r="F761" s="100">
        <v>15</v>
      </c>
      <c r="G761" s="100">
        <v>0</v>
      </c>
      <c r="H761" s="100">
        <f>F761*AE761</f>
        <v>0</v>
      </c>
      <c r="I761" s="100">
        <f>J761-H761</f>
        <v>0</v>
      </c>
      <c r="J761" s="100">
        <f>F761*G761</f>
        <v>0</v>
      </c>
      <c r="K761" s="100">
        <v>1.78164</v>
      </c>
      <c r="L761" s="100">
        <f>F761*K761</f>
        <v>26.7246</v>
      </c>
      <c r="M761" s="101" t="s">
        <v>1667</v>
      </c>
      <c r="P761" s="14">
        <f>IF(AG761="5",J761,0)</f>
        <v>0</v>
      </c>
      <c r="R761" s="14">
        <f>IF(AG761="1",H761,0)</f>
        <v>0</v>
      </c>
      <c r="S761" s="14">
        <f>IF(AG761="1",I761,0)</f>
        <v>0</v>
      </c>
      <c r="T761" s="14">
        <f>IF(AG761="7",H761,0)</f>
        <v>0</v>
      </c>
      <c r="U761" s="14">
        <f>IF(AG761="7",I761,0)</f>
        <v>0</v>
      </c>
      <c r="V761" s="14">
        <f>IF(AG761="2",H761,0)</f>
        <v>0</v>
      </c>
      <c r="W761" s="14">
        <f>IF(AG761="2",I761,0)</f>
        <v>0</v>
      </c>
      <c r="X761" s="14">
        <f>IF(AG761="0",J761,0)</f>
        <v>0</v>
      </c>
      <c r="Y761" s="8" t="s">
        <v>407</v>
      </c>
      <c r="Z761" s="5">
        <f>IF(AD761=0,J761,0)</f>
        <v>0</v>
      </c>
      <c r="AA761" s="5">
        <f>IF(AD761=15,J761,0)</f>
        <v>0</v>
      </c>
      <c r="AB761" s="5">
        <f>IF(AD761=21,J761,0)</f>
        <v>0</v>
      </c>
      <c r="AD761" s="14">
        <v>15</v>
      </c>
      <c r="AE761" s="14">
        <f>G761*0.639452497388037</f>
        <v>0</v>
      </c>
      <c r="AF761" s="14">
        <f>G761*(1-0.639452497388037)</f>
        <v>0</v>
      </c>
      <c r="AG761" s="10" t="s">
        <v>7</v>
      </c>
      <c r="AM761" s="14">
        <f>F761*AE761</f>
        <v>0</v>
      </c>
      <c r="AN761" s="14">
        <f>F761*AF761</f>
        <v>0</v>
      </c>
      <c r="AO761" s="15" t="s">
        <v>1685</v>
      </c>
      <c r="AP761" s="15" t="s">
        <v>1740</v>
      </c>
      <c r="AQ761" s="8" t="s">
        <v>1770</v>
      </c>
      <c r="AS761" s="14">
        <f>AM761+AN761</f>
        <v>0</v>
      </c>
      <c r="AT761" s="14">
        <f>G761/(100-AU761)*100</f>
        <v>0</v>
      </c>
      <c r="AU761" s="14">
        <v>0</v>
      </c>
      <c r="AV761" s="14">
        <f>L761</f>
        <v>26.7246</v>
      </c>
    </row>
    <row r="762" spans="1:48" ht="12.75">
      <c r="A762" s="99" t="s">
        <v>261</v>
      </c>
      <c r="B762" s="99" t="s">
        <v>407</v>
      </c>
      <c r="C762" s="99" t="s">
        <v>433</v>
      </c>
      <c r="D762" s="99" t="s">
        <v>831</v>
      </c>
      <c r="E762" s="99" t="s">
        <v>1639</v>
      </c>
      <c r="F762" s="100">
        <v>4.83</v>
      </c>
      <c r="G762" s="100">
        <v>0</v>
      </c>
      <c r="H762" s="100">
        <f>F762*AE762</f>
        <v>0</v>
      </c>
      <c r="I762" s="100">
        <f>J762-H762</f>
        <v>0</v>
      </c>
      <c r="J762" s="100">
        <f>F762*G762</f>
        <v>0</v>
      </c>
      <c r="K762" s="100">
        <v>2.525</v>
      </c>
      <c r="L762" s="100">
        <f>F762*K762</f>
        <v>12.19575</v>
      </c>
      <c r="M762" s="101" t="s">
        <v>1667</v>
      </c>
      <c r="P762" s="14">
        <f>IF(AG762="5",J762,0)</f>
        <v>0</v>
      </c>
      <c r="R762" s="14">
        <f>IF(AG762="1",H762,0)</f>
        <v>0</v>
      </c>
      <c r="S762" s="14">
        <f>IF(AG762="1",I762,0)</f>
        <v>0</v>
      </c>
      <c r="T762" s="14">
        <f>IF(AG762="7",H762,0)</f>
        <v>0</v>
      </c>
      <c r="U762" s="14">
        <f>IF(AG762="7",I762,0)</f>
        <v>0</v>
      </c>
      <c r="V762" s="14">
        <f>IF(AG762="2",H762,0)</f>
        <v>0</v>
      </c>
      <c r="W762" s="14">
        <f>IF(AG762="2",I762,0)</f>
        <v>0</v>
      </c>
      <c r="X762" s="14">
        <f>IF(AG762="0",J762,0)</f>
        <v>0</v>
      </c>
      <c r="Y762" s="8" t="s">
        <v>407</v>
      </c>
      <c r="Z762" s="5">
        <f>IF(AD762=0,J762,0)</f>
        <v>0</v>
      </c>
      <c r="AA762" s="5">
        <f>IF(AD762=15,J762,0)</f>
        <v>0</v>
      </c>
      <c r="AB762" s="5">
        <f>IF(AD762=21,J762,0)</f>
        <v>0</v>
      </c>
      <c r="AD762" s="14">
        <v>15</v>
      </c>
      <c r="AE762" s="14">
        <f>G762*0.90135139169037</f>
        <v>0</v>
      </c>
      <c r="AF762" s="14">
        <f>G762*(1-0.90135139169037)</f>
        <v>0</v>
      </c>
      <c r="AG762" s="10" t="s">
        <v>7</v>
      </c>
      <c r="AM762" s="14">
        <f>F762*AE762</f>
        <v>0</v>
      </c>
      <c r="AN762" s="14">
        <f>F762*AF762</f>
        <v>0</v>
      </c>
      <c r="AO762" s="15" t="s">
        <v>1685</v>
      </c>
      <c r="AP762" s="15" t="s">
        <v>1740</v>
      </c>
      <c r="AQ762" s="8" t="s">
        <v>1770</v>
      </c>
      <c r="AS762" s="14">
        <f>AM762+AN762</f>
        <v>0</v>
      </c>
      <c r="AT762" s="14">
        <f>G762/(100-AU762)*100</f>
        <v>0</v>
      </c>
      <c r="AU762" s="14">
        <v>0</v>
      </c>
      <c r="AV762" s="14">
        <f>L762</f>
        <v>12.19575</v>
      </c>
    </row>
    <row r="763" spans="1:13" ht="12.75">
      <c r="A763" s="102"/>
      <c r="B763" s="102"/>
      <c r="C763" s="102"/>
      <c r="D763" s="103" t="s">
        <v>1416</v>
      </c>
      <c r="E763" s="102"/>
      <c r="F763" s="104">
        <v>4.83</v>
      </c>
      <c r="G763" s="102"/>
      <c r="H763" s="102"/>
      <c r="I763" s="102"/>
      <c r="J763" s="102"/>
      <c r="K763" s="102"/>
      <c r="L763" s="102"/>
      <c r="M763" s="102"/>
    </row>
    <row r="764" spans="1:48" ht="12.75">
      <c r="A764" s="99" t="s">
        <v>262</v>
      </c>
      <c r="B764" s="99" t="s">
        <v>407</v>
      </c>
      <c r="C764" s="99" t="s">
        <v>434</v>
      </c>
      <c r="D764" s="99" t="s">
        <v>833</v>
      </c>
      <c r="E764" s="99" t="s">
        <v>1642</v>
      </c>
      <c r="F764" s="100">
        <v>0.38</v>
      </c>
      <c r="G764" s="100">
        <v>0</v>
      </c>
      <c r="H764" s="100">
        <f>F764*AE764</f>
        <v>0</v>
      </c>
      <c r="I764" s="100">
        <f>J764-H764</f>
        <v>0</v>
      </c>
      <c r="J764" s="100">
        <f>F764*G764</f>
        <v>0</v>
      </c>
      <c r="K764" s="100">
        <v>1.04548</v>
      </c>
      <c r="L764" s="100">
        <f>F764*K764</f>
        <v>0.3972824</v>
      </c>
      <c r="M764" s="101" t="s">
        <v>1667</v>
      </c>
      <c r="P764" s="14">
        <f>IF(AG764="5",J764,0)</f>
        <v>0</v>
      </c>
      <c r="R764" s="14">
        <f>IF(AG764="1",H764,0)</f>
        <v>0</v>
      </c>
      <c r="S764" s="14">
        <f>IF(AG764="1",I764,0)</f>
        <v>0</v>
      </c>
      <c r="T764" s="14">
        <f>IF(AG764="7",H764,0)</f>
        <v>0</v>
      </c>
      <c r="U764" s="14">
        <f>IF(AG764="7",I764,0)</f>
        <v>0</v>
      </c>
      <c r="V764" s="14">
        <f>IF(AG764="2",H764,0)</f>
        <v>0</v>
      </c>
      <c r="W764" s="14">
        <f>IF(AG764="2",I764,0)</f>
        <v>0</v>
      </c>
      <c r="X764" s="14">
        <f>IF(AG764="0",J764,0)</f>
        <v>0</v>
      </c>
      <c r="Y764" s="8" t="s">
        <v>407</v>
      </c>
      <c r="Z764" s="5">
        <f>IF(AD764=0,J764,0)</f>
        <v>0</v>
      </c>
      <c r="AA764" s="5">
        <f>IF(AD764=15,J764,0)</f>
        <v>0</v>
      </c>
      <c r="AB764" s="5">
        <f>IF(AD764=21,J764,0)</f>
        <v>0</v>
      </c>
      <c r="AD764" s="14">
        <v>15</v>
      </c>
      <c r="AE764" s="14">
        <f>G764*0.815812718378756</f>
        <v>0</v>
      </c>
      <c r="AF764" s="14">
        <f>G764*(1-0.815812718378756)</f>
        <v>0</v>
      </c>
      <c r="AG764" s="10" t="s">
        <v>7</v>
      </c>
      <c r="AM764" s="14">
        <f>F764*AE764</f>
        <v>0</v>
      </c>
      <c r="AN764" s="14">
        <f>F764*AF764</f>
        <v>0</v>
      </c>
      <c r="AO764" s="15" t="s">
        <v>1685</v>
      </c>
      <c r="AP764" s="15" t="s">
        <v>1740</v>
      </c>
      <c r="AQ764" s="8" t="s">
        <v>1770</v>
      </c>
      <c r="AS764" s="14">
        <f>AM764+AN764</f>
        <v>0</v>
      </c>
      <c r="AT764" s="14">
        <f>G764/(100-AU764)*100</f>
        <v>0</v>
      </c>
      <c r="AU764" s="14">
        <v>0</v>
      </c>
      <c r="AV764" s="14">
        <f>L764</f>
        <v>0.3972824</v>
      </c>
    </row>
    <row r="765" spans="1:13" ht="12.75">
      <c r="A765" s="102"/>
      <c r="B765" s="102"/>
      <c r="C765" s="102"/>
      <c r="D765" s="103" t="s">
        <v>1417</v>
      </c>
      <c r="E765" s="102"/>
      <c r="F765" s="104">
        <v>0.38</v>
      </c>
      <c r="G765" s="102"/>
      <c r="H765" s="102"/>
      <c r="I765" s="102"/>
      <c r="J765" s="102"/>
      <c r="K765" s="102"/>
      <c r="L765" s="102"/>
      <c r="M765" s="102"/>
    </row>
    <row r="766" spans="1:48" ht="12.75">
      <c r="A766" s="99" t="s">
        <v>263</v>
      </c>
      <c r="B766" s="99" t="s">
        <v>407</v>
      </c>
      <c r="C766" s="99" t="s">
        <v>435</v>
      </c>
      <c r="D766" s="99" t="s">
        <v>835</v>
      </c>
      <c r="E766" s="99" t="s">
        <v>1640</v>
      </c>
      <c r="F766" s="100">
        <v>3.83</v>
      </c>
      <c r="G766" s="100">
        <v>0</v>
      </c>
      <c r="H766" s="100">
        <f>F766*AE766</f>
        <v>0</v>
      </c>
      <c r="I766" s="100">
        <f>J766-H766</f>
        <v>0</v>
      </c>
      <c r="J766" s="100">
        <f>F766*G766</f>
        <v>0</v>
      </c>
      <c r="K766" s="100">
        <v>0.0364</v>
      </c>
      <c r="L766" s="100">
        <f>F766*K766</f>
        <v>0.139412</v>
      </c>
      <c r="M766" s="101" t="s">
        <v>1667</v>
      </c>
      <c r="P766" s="14">
        <f>IF(AG766="5",J766,0)</f>
        <v>0</v>
      </c>
      <c r="R766" s="14">
        <f>IF(AG766="1",H766,0)</f>
        <v>0</v>
      </c>
      <c r="S766" s="14">
        <f>IF(AG766="1",I766,0)</f>
        <v>0</v>
      </c>
      <c r="T766" s="14">
        <f>IF(AG766="7",H766,0)</f>
        <v>0</v>
      </c>
      <c r="U766" s="14">
        <f>IF(AG766="7",I766,0)</f>
        <v>0</v>
      </c>
      <c r="V766" s="14">
        <f>IF(AG766="2",H766,0)</f>
        <v>0</v>
      </c>
      <c r="W766" s="14">
        <f>IF(AG766="2",I766,0)</f>
        <v>0</v>
      </c>
      <c r="X766" s="14">
        <f>IF(AG766="0",J766,0)</f>
        <v>0</v>
      </c>
      <c r="Y766" s="8" t="s">
        <v>407</v>
      </c>
      <c r="Z766" s="5">
        <f>IF(AD766=0,J766,0)</f>
        <v>0</v>
      </c>
      <c r="AA766" s="5">
        <f>IF(AD766=15,J766,0)</f>
        <v>0</v>
      </c>
      <c r="AB766" s="5">
        <f>IF(AD766=21,J766,0)</f>
        <v>0</v>
      </c>
      <c r="AD766" s="14">
        <v>15</v>
      </c>
      <c r="AE766" s="14">
        <f>G766*0.69943359375</f>
        <v>0</v>
      </c>
      <c r="AF766" s="14">
        <f>G766*(1-0.69943359375)</f>
        <v>0</v>
      </c>
      <c r="AG766" s="10" t="s">
        <v>7</v>
      </c>
      <c r="AM766" s="14">
        <f>F766*AE766</f>
        <v>0</v>
      </c>
      <c r="AN766" s="14">
        <f>F766*AF766</f>
        <v>0</v>
      </c>
      <c r="AO766" s="15" t="s">
        <v>1685</v>
      </c>
      <c r="AP766" s="15" t="s">
        <v>1740</v>
      </c>
      <c r="AQ766" s="8" t="s">
        <v>1770</v>
      </c>
      <c r="AS766" s="14">
        <f>AM766+AN766</f>
        <v>0</v>
      </c>
      <c r="AT766" s="14">
        <f>G766/(100-AU766)*100</f>
        <v>0</v>
      </c>
      <c r="AU766" s="14">
        <v>0</v>
      </c>
      <c r="AV766" s="14">
        <f>L766</f>
        <v>0.139412</v>
      </c>
    </row>
    <row r="767" spans="1:13" ht="12.75">
      <c r="A767" s="102"/>
      <c r="B767" s="102"/>
      <c r="C767" s="102"/>
      <c r="D767" s="103" t="s">
        <v>1418</v>
      </c>
      <c r="E767" s="102"/>
      <c r="F767" s="104">
        <v>3.83</v>
      </c>
      <c r="G767" s="102"/>
      <c r="H767" s="102"/>
      <c r="I767" s="102"/>
      <c r="J767" s="102"/>
      <c r="K767" s="102"/>
      <c r="L767" s="102"/>
      <c r="M767" s="102"/>
    </row>
    <row r="768" spans="1:48" ht="12.75">
      <c r="A768" s="99" t="s">
        <v>264</v>
      </c>
      <c r="B768" s="99" t="s">
        <v>407</v>
      </c>
      <c r="C768" s="99" t="s">
        <v>436</v>
      </c>
      <c r="D768" s="99" t="s">
        <v>837</v>
      </c>
      <c r="E768" s="99" t="s">
        <v>1640</v>
      </c>
      <c r="F768" s="100">
        <v>3.15</v>
      </c>
      <c r="G768" s="100">
        <v>0</v>
      </c>
      <c r="H768" s="100">
        <f>F768*AE768</f>
        <v>0</v>
      </c>
      <c r="I768" s="100">
        <f>J768-H768</f>
        <v>0</v>
      </c>
      <c r="J768" s="100">
        <f>F768*G768</f>
        <v>0</v>
      </c>
      <c r="K768" s="100">
        <v>0</v>
      </c>
      <c r="L768" s="100">
        <f>F768*K768</f>
        <v>0</v>
      </c>
      <c r="M768" s="101" t="s">
        <v>1667</v>
      </c>
      <c r="P768" s="14">
        <f>IF(AG768="5",J768,0)</f>
        <v>0</v>
      </c>
      <c r="R768" s="14">
        <f>IF(AG768="1",H768,0)</f>
        <v>0</v>
      </c>
      <c r="S768" s="14">
        <f>IF(AG768="1",I768,0)</f>
        <v>0</v>
      </c>
      <c r="T768" s="14">
        <f>IF(AG768="7",H768,0)</f>
        <v>0</v>
      </c>
      <c r="U768" s="14">
        <f>IF(AG768="7",I768,0)</f>
        <v>0</v>
      </c>
      <c r="V768" s="14">
        <f>IF(AG768="2",H768,0)</f>
        <v>0</v>
      </c>
      <c r="W768" s="14">
        <f>IF(AG768="2",I768,0)</f>
        <v>0</v>
      </c>
      <c r="X768" s="14">
        <f>IF(AG768="0",J768,0)</f>
        <v>0</v>
      </c>
      <c r="Y768" s="8" t="s">
        <v>407</v>
      </c>
      <c r="Z768" s="5">
        <f>IF(AD768=0,J768,0)</f>
        <v>0</v>
      </c>
      <c r="AA768" s="5">
        <f>IF(AD768=15,J768,0)</f>
        <v>0</v>
      </c>
      <c r="AB768" s="5">
        <f>IF(AD768=21,J768,0)</f>
        <v>0</v>
      </c>
      <c r="AD768" s="14">
        <v>15</v>
      </c>
      <c r="AE768" s="14">
        <f>G768*0</f>
        <v>0</v>
      </c>
      <c r="AF768" s="14">
        <f>G768*(1-0)</f>
        <v>0</v>
      </c>
      <c r="AG768" s="10" t="s">
        <v>7</v>
      </c>
      <c r="AM768" s="14">
        <f>F768*AE768</f>
        <v>0</v>
      </c>
      <c r="AN768" s="14">
        <f>F768*AF768</f>
        <v>0</v>
      </c>
      <c r="AO768" s="15" t="s">
        <v>1685</v>
      </c>
      <c r="AP768" s="15" t="s">
        <v>1740</v>
      </c>
      <c r="AQ768" s="8" t="s">
        <v>1770</v>
      </c>
      <c r="AS768" s="14">
        <f>AM768+AN768</f>
        <v>0</v>
      </c>
      <c r="AT768" s="14">
        <f>G768/(100-AU768)*100</f>
        <v>0</v>
      </c>
      <c r="AU768" s="14">
        <v>0</v>
      </c>
      <c r="AV768" s="14">
        <f>L768</f>
        <v>0</v>
      </c>
    </row>
    <row r="769" spans="1:48" ht="12.75">
      <c r="A769" s="99" t="s">
        <v>265</v>
      </c>
      <c r="B769" s="99" t="s">
        <v>407</v>
      </c>
      <c r="C769" s="99" t="s">
        <v>674</v>
      </c>
      <c r="D769" s="99" t="s">
        <v>1419</v>
      </c>
      <c r="E769" s="99" t="s">
        <v>1639</v>
      </c>
      <c r="F769" s="100">
        <v>4.83</v>
      </c>
      <c r="G769" s="100">
        <v>0</v>
      </c>
      <c r="H769" s="100">
        <f>F769*AE769</f>
        <v>0</v>
      </c>
      <c r="I769" s="100">
        <f>J769-H769</f>
        <v>0</v>
      </c>
      <c r="J769" s="100">
        <f>F769*G769</f>
        <v>0</v>
      </c>
      <c r="K769" s="100">
        <v>0</v>
      </c>
      <c r="L769" s="100">
        <f>F769*K769</f>
        <v>0</v>
      </c>
      <c r="M769" s="101" t="s">
        <v>1667</v>
      </c>
      <c r="P769" s="14">
        <f>IF(AG769="5",J769,0)</f>
        <v>0</v>
      </c>
      <c r="R769" s="14">
        <f>IF(AG769="1",H769,0)</f>
        <v>0</v>
      </c>
      <c r="S769" s="14">
        <f>IF(AG769="1",I769,0)</f>
        <v>0</v>
      </c>
      <c r="T769" s="14">
        <f>IF(AG769="7",H769,0)</f>
        <v>0</v>
      </c>
      <c r="U769" s="14">
        <f>IF(AG769="7",I769,0)</f>
        <v>0</v>
      </c>
      <c r="V769" s="14">
        <f>IF(AG769="2",H769,0)</f>
        <v>0</v>
      </c>
      <c r="W769" s="14">
        <f>IF(AG769="2",I769,0)</f>
        <v>0</v>
      </c>
      <c r="X769" s="14">
        <f>IF(AG769="0",J769,0)</f>
        <v>0</v>
      </c>
      <c r="Y769" s="8" t="s">
        <v>407</v>
      </c>
      <c r="Z769" s="5">
        <f>IF(AD769=0,J769,0)</f>
        <v>0</v>
      </c>
      <c r="AA769" s="5">
        <f>IF(AD769=15,J769,0)</f>
        <v>0</v>
      </c>
      <c r="AB769" s="5">
        <f>IF(AD769=21,J769,0)</f>
        <v>0</v>
      </c>
      <c r="AD769" s="14">
        <v>15</v>
      </c>
      <c r="AE769" s="14">
        <f>G769*0</f>
        <v>0</v>
      </c>
      <c r="AF769" s="14">
        <f>G769*(1-0)</f>
        <v>0</v>
      </c>
      <c r="AG769" s="10" t="s">
        <v>7</v>
      </c>
      <c r="AM769" s="14">
        <f>F769*AE769</f>
        <v>0</v>
      </c>
      <c r="AN769" s="14">
        <f>F769*AF769</f>
        <v>0</v>
      </c>
      <c r="AO769" s="15" t="s">
        <v>1685</v>
      </c>
      <c r="AP769" s="15" t="s">
        <v>1740</v>
      </c>
      <c r="AQ769" s="8" t="s">
        <v>1770</v>
      </c>
      <c r="AS769" s="14">
        <f>AM769+AN769</f>
        <v>0</v>
      </c>
      <c r="AT769" s="14">
        <f>G769/(100-AU769)*100</f>
        <v>0</v>
      </c>
      <c r="AU769" s="14">
        <v>0</v>
      </c>
      <c r="AV769" s="14">
        <f>L769</f>
        <v>0</v>
      </c>
    </row>
    <row r="770" spans="1:37" ht="12.75">
      <c r="A770" s="93"/>
      <c r="B770" s="94" t="s">
        <v>407</v>
      </c>
      <c r="C770" s="94" t="s">
        <v>37</v>
      </c>
      <c r="D770" s="95" t="s">
        <v>840</v>
      </c>
      <c r="E770" s="96"/>
      <c r="F770" s="96"/>
      <c r="G770" s="96"/>
      <c r="H770" s="97">
        <f>SUM(H771:H778)</f>
        <v>0</v>
      </c>
      <c r="I770" s="97">
        <f>SUM(I771:I778)</f>
        <v>0</v>
      </c>
      <c r="J770" s="97">
        <f>H770+I770</f>
        <v>0</v>
      </c>
      <c r="K770" s="98"/>
      <c r="L770" s="97">
        <f>SUM(L771:L778)</f>
        <v>27.497544700000002</v>
      </c>
      <c r="M770" s="98"/>
      <c r="Y770" s="8" t="s">
        <v>407</v>
      </c>
      <c r="AI770" s="16">
        <f>SUM(Z771:Z778)</f>
        <v>0</v>
      </c>
      <c r="AJ770" s="16">
        <f>SUM(AA771:AA778)</f>
        <v>0</v>
      </c>
      <c r="AK770" s="16">
        <f>SUM(AB771:AB778)</f>
        <v>0</v>
      </c>
    </row>
    <row r="771" spans="1:48" ht="12.75">
      <c r="A771" s="99" t="s">
        <v>266</v>
      </c>
      <c r="B771" s="99" t="s">
        <v>407</v>
      </c>
      <c r="C771" s="99" t="s">
        <v>440</v>
      </c>
      <c r="D771" s="99" t="s">
        <v>1420</v>
      </c>
      <c r="E771" s="99" t="s">
        <v>1640</v>
      </c>
      <c r="F771" s="100">
        <v>57.53</v>
      </c>
      <c r="G771" s="100">
        <v>0</v>
      </c>
      <c r="H771" s="100">
        <f>F771*AE771</f>
        <v>0</v>
      </c>
      <c r="I771" s="100">
        <f>J771-H771</f>
        <v>0</v>
      </c>
      <c r="J771" s="100">
        <f>F771*G771</f>
        <v>0</v>
      </c>
      <c r="K771" s="100">
        <v>0.46911</v>
      </c>
      <c r="L771" s="100">
        <f>F771*K771</f>
        <v>26.9878983</v>
      </c>
      <c r="M771" s="101" t="s">
        <v>1667</v>
      </c>
      <c r="P771" s="14">
        <f>IF(AG771="5",J771,0)</f>
        <v>0</v>
      </c>
      <c r="R771" s="14">
        <f>IF(AG771="1",H771,0)</f>
        <v>0</v>
      </c>
      <c r="S771" s="14">
        <f>IF(AG771="1",I771,0)</f>
        <v>0</v>
      </c>
      <c r="T771" s="14">
        <f>IF(AG771="7",H771,0)</f>
        <v>0</v>
      </c>
      <c r="U771" s="14">
        <f>IF(AG771="7",I771,0)</f>
        <v>0</v>
      </c>
      <c r="V771" s="14">
        <f>IF(AG771="2",H771,0)</f>
        <v>0</v>
      </c>
      <c r="W771" s="14">
        <f>IF(AG771="2",I771,0)</f>
        <v>0</v>
      </c>
      <c r="X771" s="14">
        <f>IF(AG771="0",J771,0)</f>
        <v>0</v>
      </c>
      <c r="Y771" s="8" t="s">
        <v>407</v>
      </c>
      <c r="Z771" s="5">
        <f>IF(AD771=0,J771,0)</f>
        <v>0</v>
      </c>
      <c r="AA771" s="5">
        <f>IF(AD771=15,J771,0)</f>
        <v>0</v>
      </c>
      <c r="AB771" s="5">
        <f>IF(AD771=21,J771,0)</f>
        <v>0</v>
      </c>
      <c r="AD771" s="14">
        <v>15</v>
      </c>
      <c r="AE771" s="14">
        <f>G771*0.633159441587068</f>
        <v>0</v>
      </c>
      <c r="AF771" s="14">
        <f>G771*(1-0.633159441587068)</f>
        <v>0</v>
      </c>
      <c r="AG771" s="10" t="s">
        <v>7</v>
      </c>
      <c r="AM771" s="14">
        <f>F771*AE771</f>
        <v>0</v>
      </c>
      <c r="AN771" s="14">
        <f>F771*AF771</f>
        <v>0</v>
      </c>
      <c r="AO771" s="15" t="s">
        <v>1686</v>
      </c>
      <c r="AP771" s="15" t="s">
        <v>1741</v>
      </c>
      <c r="AQ771" s="8" t="s">
        <v>1770</v>
      </c>
      <c r="AS771" s="14">
        <f>AM771+AN771</f>
        <v>0</v>
      </c>
      <c r="AT771" s="14">
        <f>G771/(100-AU771)*100</f>
        <v>0</v>
      </c>
      <c r="AU771" s="14">
        <v>0</v>
      </c>
      <c r="AV771" s="14">
        <f>L771</f>
        <v>26.9878983</v>
      </c>
    </row>
    <row r="772" spans="1:13" ht="12.75">
      <c r="A772" s="102"/>
      <c r="B772" s="102"/>
      <c r="C772" s="102"/>
      <c r="D772" s="103" t="s">
        <v>1421</v>
      </c>
      <c r="E772" s="102"/>
      <c r="F772" s="104">
        <v>68.81</v>
      </c>
      <c r="G772" s="102"/>
      <c r="H772" s="102"/>
      <c r="I772" s="102"/>
      <c r="J772" s="102"/>
      <c r="K772" s="102"/>
      <c r="L772" s="102"/>
      <c r="M772" s="102"/>
    </row>
    <row r="773" spans="1:13" ht="12.75">
      <c r="A773" s="102"/>
      <c r="B773" s="102"/>
      <c r="C773" s="102"/>
      <c r="D773" s="103" t="s">
        <v>1422</v>
      </c>
      <c r="E773" s="102"/>
      <c r="F773" s="104">
        <v>-1.13</v>
      </c>
      <c r="G773" s="102"/>
      <c r="H773" s="102"/>
      <c r="I773" s="102"/>
      <c r="J773" s="102"/>
      <c r="K773" s="102"/>
      <c r="L773" s="102"/>
      <c r="M773" s="102"/>
    </row>
    <row r="774" spans="1:13" ht="12.75">
      <c r="A774" s="102"/>
      <c r="B774" s="102"/>
      <c r="C774" s="102"/>
      <c r="D774" s="103" t="s">
        <v>1423</v>
      </c>
      <c r="E774" s="102"/>
      <c r="F774" s="104">
        <v>-2.2</v>
      </c>
      <c r="G774" s="102"/>
      <c r="H774" s="102"/>
      <c r="I774" s="102"/>
      <c r="J774" s="102"/>
      <c r="K774" s="102"/>
      <c r="L774" s="102"/>
      <c r="M774" s="102"/>
    </row>
    <row r="775" spans="1:13" ht="12.75">
      <c r="A775" s="102"/>
      <c r="B775" s="102"/>
      <c r="C775" s="102"/>
      <c r="D775" s="103" t="s">
        <v>1424</v>
      </c>
      <c r="E775" s="102"/>
      <c r="F775" s="104">
        <v>-7.95</v>
      </c>
      <c r="G775" s="102"/>
      <c r="H775" s="102"/>
      <c r="I775" s="102"/>
      <c r="J775" s="102"/>
      <c r="K775" s="102"/>
      <c r="L775" s="102"/>
      <c r="M775" s="102"/>
    </row>
    <row r="776" spans="1:48" ht="12.75">
      <c r="A776" s="99" t="s">
        <v>267</v>
      </c>
      <c r="B776" s="99" t="s">
        <v>407</v>
      </c>
      <c r="C776" s="99" t="s">
        <v>675</v>
      </c>
      <c r="D776" s="99" t="s">
        <v>1425</v>
      </c>
      <c r="E776" s="99" t="s">
        <v>1644</v>
      </c>
      <c r="F776" s="100">
        <v>1</v>
      </c>
      <c r="G776" s="100">
        <v>0</v>
      </c>
      <c r="H776" s="100">
        <f>F776*AE776</f>
        <v>0</v>
      </c>
      <c r="I776" s="100">
        <f>J776-H776</f>
        <v>0</v>
      </c>
      <c r="J776" s="100">
        <f>F776*G776</f>
        <v>0</v>
      </c>
      <c r="K776" s="100">
        <v>0.25912</v>
      </c>
      <c r="L776" s="100">
        <f>F776*K776</f>
        <v>0.25912</v>
      </c>
      <c r="M776" s="101" t="s">
        <v>1667</v>
      </c>
      <c r="P776" s="14">
        <f>IF(AG776="5",J776,0)</f>
        <v>0</v>
      </c>
      <c r="R776" s="14">
        <f>IF(AG776="1",H776,0)</f>
        <v>0</v>
      </c>
      <c r="S776" s="14">
        <f>IF(AG776="1",I776,0)</f>
        <v>0</v>
      </c>
      <c r="T776" s="14">
        <f>IF(AG776="7",H776,0)</f>
        <v>0</v>
      </c>
      <c r="U776" s="14">
        <f>IF(AG776="7",I776,0)</f>
        <v>0</v>
      </c>
      <c r="V776" s="14">
        <f>IF(AG776="2",H776,0)</f>
        <v>0</v>
      </c>
      <c r="W776" s="14">
        <f>IF(AG776="2",I776,0)</f>
        <v>0</v>
      </c>
      <c r="X776" s="14">
        <f>IF(AG776="0",J776,0)</f>
        <v>0</v>
      </c>
      <c r="Y776" s="8" t="s">
        <v>407</v>
      </c>
      <c r="Z776" s="5">
        <f>IF(AD776=0,J776,0)</f>
        <v>0</v>
      </c>
      <c r="AA776" s="5">
        <f>IF(AD776=15,J776,0)</f>
        <v>0</v>
      </c>
      <c r="AB776" s="5">
        <f>IF(AD776=21,J776,0)</f>
        <v>0</v>
      </c>
      <c r="AD776" s="14">
        <v>15</v>
      </c>
      <c r="AE776" s="14">
        <f>G776*0.868516570226197</f>
        <v>0</v>
      </c>
      <c r="AF776" s="14">
        <f>G776*(1-0.868516570226197)</f>
        <v>0</v>
      </c>
      <c r="AG776" s="10" t="s">
        <v>7</v>
      </c>
      <c r="AM776" s="14">
        <f>F776*AE776</f>
        <v>0</v>
      </c>
      <c r="AN776" s="14">
        <f>F776*AF776</f>
        <v>0</v>
      </c>
      <c r="AO776" s="15" t="s">
        <v>1686</v>
      </c>
      <c r="AP776" s="15" t="s">
        <v>1741</v>
      </c>
      <c r="AQ776" s="8" t="s">
        <v>1770</v>
      </c>
      <c r="AS776" s="14">
        <f>AM776+AN776</f>
        <v>0</v>
      </c>
      <c r="AT776" s="14">
        <f>G776/(100-AU776)*100</f>
        <v>0</v>
      </c>
      <c r="AU776" s="14">
        <v>0</v>
      </c>
      <c r="AV776" s="14">
        <f>L776</f>
        <v>0.25912</v>
      </c>
    </row>
    <row r="777" spans="1:48" ht="12.75">
      <c r="A777" s="99" t="s">
        <v>268</v>
      </c>
      <c r="B777" s="99" t="s">
        <v>407</v>
      </c>
      <c r="C777" s="99" t="s">
        <v>676</v>
      </c>
      <c r="D777" s="99" t="s">
        <v>1426</v>
      </c>
      <c r="E777" s="99" t="s">
        <v>1644</v>
      </c>
      <c r="F777" s="100">
        <v>1</v>
      </c>
      <c r="G777" s="100">
        <v>0</v>
      </c>
      <c r="H777" s="100">
        <f>F777*AE777</f>
        <v>0</v>
      </c>
      <c r="I777" s="100">
        <f>J777-H777</f>
        <v>0</v>
      </c>
      <c r="J777" s="100">
        <f>F777*G777</f>
        <v>0</v>
      </c>
      <c r="K777" s="100">
        <v>0.19516</v>
      </c>
      <c r="L777" s="100">
        <f>F777*K777</f>
        <v>0.19516</v>
      </c>
      <c r="M777" s="101" t="s">
        <v>1667</v>
      </c>
      <c r="P777" s="14">
        <f>IF(AG777="5",J777,0)</f>
        <v>0</v>
      </c>
      <c r="R777" s="14">
        <f>IF(AG777="1",H777,0)</f>
        <v>0</v>
      </c>
      <c r="S777" s="14">
        <f>IF(AG777="1",I777,0)</f>
        <v>0</v>
      </c>
      <c r="T777" s="14">
        <f>IF(AG777="7",H777,0)</f>
        <v>0</v>
      </c>
      <c r="U777" s="14">
        <f>IF(AG777="7",I777,0)</f>
        <v>0</v>
      </c>
      <c r="V777" s="14">
        <f>IF(AG777="2",H777,0)</f>
        <v>0</v>
      </c>
      <c r="W777" s="14">
        <f>IF(AG777="2",I777,0)</f>
        <v>0</v>
      </c>
      <c r="X777" s="14">
        <f>IF(AG777="0",J777,0)</f>
        <v>0</v>
      </c>
      <c r="Y777" s="8" t="s">
        <v>407</v>
      </c>
      <c r="Z777" s="5">
        <f>IF(AD777=0,J777,0)</f>
        <v>0</v>
      </c>
      <c r="AA777" s="5">
        <f>IF(AD777=15,J777,0)</f>
        <v>0</v>
      </c>
      <c r="AB777" s="5">
        <f>IF(AD777=21,J777,0)</f>
        <v>0</v>
      </c>
      <c r="AD777" s="14">
        <v>15</v>
      </c>
      <c r="AE777" s="14">
        <f>G777*0.81675219941349</f>
        <v>0</v>
      </c>
      <c r="AF777" s="14">
        <f>G777*(1-0.81675219941349)</f>
        <v>0</v>
      </c>
      <c r="AG777" s="10" t="s">
        <v>7</v>
      </c>
      <c r="AM777" s="14">
        <f>F777*AE777</f>
        <v>0</v>
      </c>
      <c r="AN777" s="14">
        <f>F777*AF777</f>
        <v>0</v>
      </c>
      <c r="AO777" s="15" t="s">
        <v>1686</v>
      </c>
      <c r="AP777" s="15" t="s">
        <v>1741</v>
      </c>
      <c r="AQ777" s="8" t="s">
        <v>1770</v>
      </c>
      <c r="AS777" s="14">
        <f>AM777+AN777</f>
        <v>0</v>
      </c>
      <c r="AT777" s="14">
        <f>G777/(100-AU777)*100</f>
        <v>0</v>
      </c>
      <c r="AU777" s="14">
        <v>0</v>
      </c>
      <c r="AV777" s="14">
        <f>L777</f>
        <v>0.19516</v>
      </c>
    </row>
    <row r="778" spans="1:48" ht="12.75">
      <c r="A778" s="99" t="s">
        <v>269</v>
      </c>
      <c r="B778" s="99" t="s">
        <v>407</v>
      </c>
      <c r="C778" s="99" t="s">
        <v>677</v>
      </c>
      <c r="D778" s="99" t="s">
        <v>1427</v>
      </c>
      <c r="E778" s="99" t="s">
        <v>1640</v>
      </c>
      <c r="F778" s="100">
        <v>8.44</v>
      </c>
      <c r="G778" s="100">
        <v>0</v>
      </c>
      <c r="H778" s="100">
        <f>F778*AE778</f>
        <v>0</v>
      </c>
      <c r="I778" s="100">
        <f>J778-H778</f>
        <v>0</v>
      </c>
      <c r="J778" s="100">
        <f>F778*G778</f>
        <v>0</v>
      </c>
      <c r="K778" s="100">
        <v>0.00656</v>
      </c>
      <c r="L778" s="100">
        <f>F778*K778</f>
        <v>0.055366399999999996</v>
      </c>
      <c r="M778" s="101" t="s">
        <v>1667</v>
      </c>
      <c r="P778" s="14">
        <f>IF(AG778="5",J778,0)</f>
        <v>0</v>
      </c>
      <c r="R778" s="14">
        <f>IF(AG778="1",H778,0)</f>
        <v>0</v>
      </c>
      <c r="S778" s="14">
        <f>IF(AG778="1",I778,0)</f>
        <v>0</v>
      </c>
      <c r="T778" s="14">
        <f>IF(AG778="7",H778,0)</f>
        <v>0</v>
      </c>
      <c r="U778" s="14">
        <f>IF(AG778="7",I778,0)</f>
        <v>0</v>
      </c>
      <c r="V778" s="14">
        <f>IF(AG778="2",H778,0)</f>
        <v>0</v>
      </c>
      <c r="W778" s="14">
        <f>IF(AG778="2",I778,0)</f>
        <v>0</v>
      </c>
      <c r="X778" s="14">
        <f>IF(AG778="0",J778,0)</f>
        <v>0</v>
      </c>
      <c r="Y778" s="8" t="s">
        <v>407</v>
      </c>
      <c r="Z778" s="5">
        <f>IF(AD778=0,J778,0)</f>
        <v>0</v>
      </c>
      <c r="AA778" s="5">
        <f>IF(AD778=15,J778,0)</f>
        <v>0</v>
      </c>
      <c r="AB778" s="5">
        <f>IF(AD778=21,J778,0)</f>
        <v>0</v>
      </c>
      <c r="AD778" s="14">
        <v>15</v>
      </c>
      <c r="AE778" s="14">
        <f>G778*0.62117199391172</f>
        <v>0</v>
      </c>
      <c r="AF778" s="14">
        <f>G778*(1-0.62117199391172)</f>
        <v>0</v>
      </c>
      <c r="AG778" s="10" t="s">
        <v>7</v>
      </c>
      <c r="AM778" s="14">
        <f>F778*AE778</f>
        <v>0</v>
      </c>
      <c r="AN778" s="14">
        <f>F778*AF778</f>
        <v>0</v>
      </c>
      <c r="AO778" s="15" t="s">
        <v>1686</v>
      </c>
      <c r="AP778" s="15" t="s">
        <v>1741</v>
      </c>
      <c r="AQ778" s="8" t="s">
        <v>1770</v>
      </c>
      <c r="AS778" s="14">
        <f>AM778+AN778</f>
        <v>0</v>
      </c>
      <c r="AT778" s="14">
        <f>G778/(100-AU778)*100</f>
        <v>0</v>
      </c>
      <c r="AU778" s="14">
        <v>0</v>
      </c>
      <c r="AV778" s="14">
        <f>L778</f>
        <v>0.055366399999999996</v>
      </c>
    </row>
    <row r="779" spans="1:37" ht="12.75">
      <c r="A779" s="93"/>
      <c r="B779" s="94" t="s">
        <v>407</v>
      </c>
      <c r="C779" s="94" t="s">
        <v>40</v>
      </c>
      <c r="D779" s="95" t="s">
        <v>886</v>
      </c>
      <c r="E779" s="96"/>
      <c r="F779" s="96"/>
      <c r="G779" s="96"/>
      <c r="H779" s="97">
        <f>SUM(H780:H780)</f>
        <v>0</v>
      </c>
      <c r="I779" s="97">
        <f>SUM(I780:I780)</f>
        <v>0</v>
      </c>
      <c r="J779" s="97">
        <f>H779+I779</f>
        <v>0</v>
      </c>
      <c r="K779" s="98"/>
      <c r="L779" s="97">
        <f>SUM(L780:L780)</f>
        <v>2.0816500000000002</v>
      </c>
      <c r="M779" s="98"/>
      <c r="Y779" s="8" t="s">
        <v>407</v>
      </c>
      <c r="AI779" s="16">
        <f>SUM(Z780:Z780)</f>
        <v>0</v>
      </c>
      <c r="AJ779" s="16">
        <f>SUM(AA780:AA780)</f>
        <v>0</v>
      </c>
      <c r="AK779" s="16">
        <f>SUM(AB780:AB780)</f>
        <v>0</v>
      </c>
    </row>
    <row r="780" spans="1:48" ht="12.75">
      <c r="A780" s="99" t="s">
        <v>270</v>
      </c>
      <c r="B780" s="99" t="s">
        <v>407</v>
      </c>
      <c r="C780" s="99" t="s">
        <v>678</v>
      </c>
      <c r="D780" s="99" t="s">
        <v>1428</v>
      </c>
      <c r="E780" s="99" t="s">
        <v>1640</v>
      </c>
      <c r="F780" s="100">
        <v>6.2</v>
      </c>
      <c r="G780" s="100">
        <v>0</v>
      </c>
      <c r="H780" s="100">
        <f>F780*AE780</f>
        <v>0</v>
      </c>
      <c r="I780" s="100">
        <f>J780-H780</f>
        <v>0</v>
      </c>
      <c r="J780" s="100">
        <f>F780*G780</f>
        <v>0</v>
      </c>
      <c r="K780" s="100">
        <v>0.33575</v>
      </c>
      <c r="L780" s="100">
        <f>F780*K780</f>
        <v>2.0816500000000002</v>
      </c>
      <c r="M780" s="101" t="s">
        <v>1667</v>
      </c>
      <c r="P780" s="14">
        <f>IF(AG780="5",J780,0)</f>
        <v>0</v>
      </c>
      <c r="R780" s="14">
        <f>IF(AG780="1",H780,0)</f>
        <v>0</v>
      </c>
      <c r="S780" s="14">
        <f>IF(AG780="1",I780,0)</f>
        <v>0</v>
      </c>
      <c r="T780" s="14">
        <f>IF(AG780="7",H780,0)</f>
        <v>0</v>
      </c>
      <c r="U780" s="14">
        <f>IF(AG780="7",I780,0)</f>
        <v>0</v>
      </c>
      <c r="V780" s="14">
        <f>IF(AG780="2",H780,0)</f>
        <v>0</v>
      </c>
      <c r="W780" s="14">
        <f>IF(AG780="2",I780,0)</f>
        <v>0</v>
      </c>
      <c r="X780" s="14">
        <f>IF(AG780="0",J780,0)</f>
        <v>0</v>
      </c>
      <c r="Y780" s="8" t="s">
        <v>407</v>
      </c>
      <c r="Z780" s="5">
        <f>IF(AD780=0,J780,0)</f>
        <v>0</v>
      </c>
      <c r="AA780" s="5">
        <f>IF(AD780=15,J780,0)</f>
        <v>0</v>
      </c>
      <c r="AB780" s="5">
        <f>IF(AD780=21,J780,0)</f>
        <v>0</v>
      </c>
      <c r="AD780" s="14">
        <v>15</v>
      </c>
      <c r="AE780" s="14">
        <f>G780*0.80975352112676</f>
        <v>0</v>
      </c>
      <c r="AF780" s="14">
        <f>G780*(1-0.80975352112676)</f>
        <v>0</v>
      </c>
      <c r="AG780" s="10" t="s">
        <v>7</v>
      </c>
      <c r="AM780" s="14">
        <f>F780*AE780</f>
        <v>0</v>
      </c>
      <c r="AN780" s="14">
        <f>F780*AF780</f>
        <v>0</v>
      </c>
      <c r="AO780" s="15" t="s">
        <v>1687</v>
      </c>
      <c r="AP780" s="15" t="s">
        <v>1741</v>
      </c>
      <c r="AQ780" s="8" t="s">
        <v>1770</v>
      </c>
      <c r="AS780" s="14">
        <f>AM780+AN780</f>
        <v>0</v>
      </c>
      <c r="AT780" s="14">
        <f>G780/(100-AU780)*100</f>
        <v>0</v>
      </c>
      <c r="AU780" s="14">
        <v>0</v>
      </c>
      <c r="AV780" s="14">
        <f>L780</f>
        <v>2.0816500000000002</v>
      </c>
    </row>
    <row r="781" spans="1:13" ht="12.75">
      <c r="A781" s="102"/>
      <c r="B781" s="102"/>
      <c r="C781" s="102"/>
      <c r="D781" s="103" t="s">
        <v>1429</v>
      </c>
      <c r="E781" s="102"/>
      <c r="F781" s="104">
        <v>6.2</v>
      </c>
      <c r="G781" s="102"/>
      <c r="H781" s="102"/>
      <c r="I781" s="102"/>
      <c r="J781" s="102"/>
      <c r="K781" s="102"/>
      <c r="L781" s="102"/>
      <c r="M781" s="102"/>
    </row>
    <row r="782" spans="1:37" ht="12.75">
      <c r="A782" s="93"/>
      <c r="B782" s="94" t="s">
        <v>407</v>
      </c>
      <c r="C782" s="94" t="s">
        <v>47</v>
      </c>
      <c r="D782" s="95" t="s">
        <v>915</v>
      </c>
      <c r="E782" s="96"/>
      <c r="F782" s="96"/>
      <c r="G782" s="96"/>
      <c r="H782" s="97">
        <f>SUM(H783:H797)</f>
        <v>0</v>
      </c>
      <c r="I782" s="97">
        <f>SUM(I783:I797)</f>
        <v>0</v>
      </c>
      <c r="J782" s="97">
        <f>H782+I782</f>
        <v>0</v>
      </c>
      <c r="K782" s="98"/>
      <c r="L782" s="97">
        <f>SUM(L783:L797)</f>
        <v>7.978250899999999</v>
      </c>
      <c r="M782" s="98"/>
      <c r="Y782" s="8" t="s">
        <v>407</v>
      </c>
      <c r="AI782" s="16">
        <f>SUM(Z783:Z797)</f>
        <v>0</v>
      </c>
      <c r="AJ782" s="16">
        <f>SUM(AA783:AA797)</f>
        <v>0</v>
      </c>
      <c r="AK782" s="16">
        <f>SUM(AB783:AB797)</f>
        <v>0</v>
      </c>
    </row>
    <row r="783" spans="1:48" ht="12.75">
      <c r="A783" s="99" t="s">
        <v>271</v>
      </c>
      <c r="B783" s="99" t="s">
        <v>407</v>
      </c>
      <c r="C783" s="99" t="s">
        <v>458</v>
      </c>
      <c r="D783" s="99" t="s">
        <v>1430</v>
      </c>
      <c r="E783" s="99" t="s">
        <v>1640</v>
      </c>
      <c r="F783" s="100">
        <v>38.18</v>
      </c>
      <c r="G783" s="100">
        <v>0</v>
      </c>
      <c r="H783" s="100">
        <f>F783*AE783</f>
        <v>0</v>
      </c>
      <c r="I783" s="100">
        <f>J783-H783</f>
        <v>0</v>
      </c>
      <c r="J783" s="100">
        <f>F783*G783</f>
        <v>0</v>
      </c>
      <c r="K783" s="100">
        <v>0</v>
      </c>
      <c r="L783" s="100">
        <f>F783*K783</f>
        <v>0</v>
      </c>
      <c r="M783" s="101" t="s">
        <v>1667</v>
      </c>
      <c r="P783" s="14">
        <f>IF(AG783="5",J783,0)</f>
        <v>0</v>
      </c>
      <c r="R783" s="14">
        <f>IF(AG783="1",H783,0)</f>
        <v>0</v>
      </c>
      <c r="S783" s="14">
        <f>IF(AG783="1",I783,0)</f>
        <v>0</v>
      </c>
      <c r="T783" s="14">
        <f>IF(AG783="7",H783,0)</f>
        <v>0</v>
      </c>
      <c r="U783" s="14">
        <f>IF(AG783="7",I783,0)</f>
        <v>0</v>
      </c>
      <c r="V783" s="14">
        <f>IF(AG783="2",H783,0)</f>
        <v>0</v>
      </c>
      <c r="W783" s="14">
        <f>IF(AG783="2",I783,0)</f>
        <v>0</v>
      </c>
      <c r="X783" s="14">
        <f>IF(AG783="0",J783,0)</f>
        <v>0</v>
      </c>
      <c r="Y783" s="8" t="s">
        <v>407</v>
      </c>
      <c r="Z783" s="5">
        <f>IF(AD783=0,J783,0)</f>
        <v>0</v>
      </c>
      <c r="AA783" s="5">
        <f>IF(AD783=15,J783,0)</f>
        <v>0</v>
      </c>
      <c r="AB783" s="5">
        <f>IF(AD783=21,J783,0)</f>
        <v>0</v>
      </c>
      <c r="AD783" s="14">
        <v>15</v>
      </c>
      <c r="AE783" s="14">
        <f>G783*0</f>
        <v>0</v>
      </c>
      <c r="AF783" s="14">
        <f>G783*(1-0)</f>
        <v>0</v>
      </c>
      <c r="AG783" s="10" t="s">
        <v>7</v>
      </c>
      <c r="AM783" s="14">
        <f>F783*AE783</f>
        <v>0</v>
      </c>
      <c r="AN783" s="14">
        <f>F783*AF783</f>
        <v>0</v>
      </c>
      <c r="AO783" s="15" t="s">
        <v>1688</v>
      </c>
      <c r="AP783" s="15" t="s">
        <v>1742</v>
      </c>
      <c r="AQ783" s="8" t="s">
        <v>1770</v>
      </c>
      <c r="AS783" s="14">
        <f>AM783+AN783</f>
        <v>0</v>
      </c>
      <c r="AT783" s="14">
        <f>G783/(100-AU783)*100</f>
        <v>0</v>
      </c>
      <c r="AU783" s="14">
        <v>0</v>
      </c>
      <c r="AV783" s="14">
        <f>L783</f>
        <v>0</v>
      </c>
    </row>
    <row r="784" spans="1:48" ht="12.75">
      <c r="A784" s="99" t="s">
        <v>272</v>
      </c>
      <c r="B784" s="99" t="s">
        <v>407</v>
      </c>
      <c r="C784" s="99" t="s">
        <v>459</v>
      </c>
      <c r="D784" s="99" t="s">
        <v>919</v>
      </c>
      <c r="E784" s="99" t="s">
        <v>1639</v>
      </c>
      <c r="F784" s="100">
        <v>1.5</v>
      </c>
      <c r="G784" s="100">
        <v>0</v>
      </c>
      <c r="H784" s="100">
        <f>F784*AE784</f>
        <v>0</v>
      </c>
      <c r="I784" s="100">
        <f>J784-H784</f>
        <v>0</v>
      </c>
      <c r="J784" s="100">
        <f>F784*G784</f>
        <v>0</v>
      </c>
      <c r="K784" s="100">
        <v>2.52511</v>
      </c>
      <c r="L784" s="100">
        <f>F784*K784</f>
        <v>3.7876650000000005</v>
      </c>
      <c r="M784" s="101" t="s">
        <v>1667</v>
      </c>
      <c r="P784" s="14">
        <f>IF(AG784="5",J784,0)</f>
        <v>0</v>
      </c>
      <c r="R784" s="14">
        <f>IF(AG784="1",H784,0)</f>
        <v>0</v>
      </c>
      <c r="S784" s="14">
        <f>IF(AG784="1",I784,0)</f>
        <v>0</v>
      </c>
      <c r="T784" s="14">
        <f>IF(AG784="7",H784,0)</f>
        <v>0</v>
      </c>
      <c r="U784" s="14">
        <f>IF(AG784="7",I784,0)</f>
        <v>0</v>
      </c>
      <c r="V784" s="14">
        <f>IF(AG784="2",H784,0)</f>
        <v>0</v>
      </c>
      <c r="W784" s="14">
        <f>IF(AG784="2",I784,0)</f>
        <v>0</v>
      </c>
      <c r="X784" s="14">
        <f>IF(AG784="0",J784,0)</f>
        <v>0</v>
      </c>
      <c r="Y784" s="8" t="s">
        <v>407</v>
      </c>
      <c r="Z784" s="5">
        <f>IF(AD784=0,J784,0)</f>
        <v>0</v>
      </c>
      <c r="AA784" s="5">
        <f>IF(AD784=15,J784,0)</f>
        <v>0</v>
      </c>
      <c r="AB784" s="5">
        <f>IF(AD784=21,J784,0)</f>
        <v>0</v>
      </c>
      <c r="AD784" s="14">
        <v>15</v>
      </c>
      <c r="AE784" s="14">
        <f>G784*0.828709677419355</f>
        <v>0</v>
      </c>
      <c r="AF784" s="14">
        <f>G784*(1-0.828709677419355)</f>
        <v>0</v>
      </c>
      <c r="AG784" s="10" t="s">
        <v>7</v>
      </c>
      <c r="AM784" s="14">
        <f>F784*AE784</f>
        <v>0</v>
      </c>
      <c r="AN784" s="14">
        <f>F784*AF784</f>
        <v>0</v>
      </c>
      <c r="AO784" s="15" t="s">
        <v>1688</v>
      </c>
      <c r="AP784" s="15" t="s">
        <v>1742</v>
      </c>
      <c r="AQ784" s="8" t="s">
        <v>1770</v>
      </c>
      <c r="AS784" s="14">
        <f>AM784+AN784</f>
        <v>0</v>
      </c>
      <c r="AT784" s="14">
        <f>G784/(100-AU784)*100</f>
        <v>0</v>
      </c>
      <c r="AU784" s="14">
        <v>0</v>
      </c>
      <c r="AV784" s="14">
        <f>L784</f>
        <v>3.7876650000000005</v>
      </c>
    </row>
    <row r="785" spans="1:13" ht="12.75">
      <c r="A785" s="102"/>
      <c r="B785" s="102"/>
      <c r="C785" s="102"/>
      <c r="D785" s="103" t="s">
        <v>1431</v>
      </c>
      <c r="E785" s="102"/>
      <c r="F785" s="104">
        <v>0.84</v>
      </c>
      <c r="G785" s="102"/>
      <c r="H785" s="102"/>
      <c r="I785" s="102"/>
      <c r="J785" s="102"/>
      <c r="K785" s="102"/>
      <c r="L785" s="102"/>
      <c r="M785" s="102"/>
    </row>
    <row r="786" spans="1:13" ht="12.75">
      <c r="A786" s="102"/>
      <c r="B786" s="102"/>
      <c r="C786" s="102"/>
      <c r="D786" s="103" t="s">
        <v>1432</v>
      </c>
      <c r="E786" s="102"/>
      <c r="F786" s="104">
        <v>0.66</v>
      </c>
      <c r="G786" s="102"/>
      <c r="H786" s="102"/>
      <c r="I786" s="102"/>
      <c r="J786" s="102"/>
      <c r="K786" s="102"/>
      <c r="L786" s="102"/>
      <c r="M786" s="102"/>
    </row>
    <row r="787" spans="1:48" ht="12.75">
      <c r="A787" s="99" t="s">
        <v>273</v>
      </c>
      <c r="B787" s="99" t="s">
        <v>407</v>
      </c>
      <c r="C787" s="99" t="s">
        <v>460</v>
      </c>
      <c r="D787" s="99" t="s">
        <v>924</v>
      </c>
      <c r="E787" s="99" t="s">
        <v>1643</v>
      </c>
      <c r="F787" s="100">
        <v>25.02</v>
      </c>
      <c r="G787" s="100">
        <v>0</v>
      </c>
      <c r="H787" s="100">
        <f>F787*AE787</f>
        <v>0</v>
      </c>
      <c r="I787" s="100">
        <f>J787-H787</f>
        <v>0</v>
      </c>
      <c r="J787" s="100">
        <f>F787*G787</f>
        <v>0</v>
      </c>
      <c r="K787" s="100">
        <v>0.05242</v>
      </c>
      <c r="L787" s="100">
        <f>F787*K787</f>
        <v>1.3115484</v>
      </c>
      <c r="M787" s="101" t="s">
        <v>1667</v>
      </c>
      <c r="P787" s="14">
        <f>IF(AG787="5",J787,0)</f>
        <v>0</v>
      </c>
      <c r="R787" s="14">
        <f>IF(AG787="1",H787,0)</f>
        <v>0</v>
      </c>
      <c r="S787" s="14">
        <f>IF(AG787="1",I787,0)</f>
        <v>0</v>
      </c>
      <c r="T787" s="14">
        <f>IF(AG787="7",H787,0)</f>
        <v>0</v>
      </c>
      <c r="U787" s="14">
        <f>IF(AG787="7",I787,0)</f>
        <v>0</v>
      </c>
      <c r="V787" s="14">
        <f>IF(AG787="2",H787,0)</f>
        <v>0</v>
      </c>
      <c r="W787" s="14">
        <f>IF(AG787="2",I787,0)</f>
        <v>0</v>
      </c>
      <c r="X787" s="14">
        <f>IF(AG787="0",J787,0)</f>
        <v>0</v>
      </c>
      <c r="Y787" s="8" t="s">
        <v>407</v>
      </c>
      <c r="Z787" s="5">
        <f>IF(AD787=0,J787,0)</f>
        <v>0</v>
      </c>
      <c r="AA787" s="5">
        <f>IF(AD787=15,J787,0)</f>
        <v>0</v>
      </c>
      <c r="AB787" s="5">
        <f>IF(AD787=21,J787,0)</f>
        <v>0</v>
      </c>
      <c r="AD787" s="14">
        <v>15</v>
      </c>
      <c r="AE787" s="14">
        <f>G787*0.322771084337349</f>
        <v>0</v>
      </c>
      <c r="AF787" s="14">
        <f>G787*(1-0.322771084337349)</f>
        <v>0</v>
      </c>
      <c r="AG787" s="10" t="s">
        <v>7</v>
      </c>
      <c r="AM787" s="14">
        <f>F787*AE787</f>
        <v>0</v>
      </c>
      <c r="AN787" s="14">
        <f>F787*AF787</f>
        <v>0</v>
      </c>
      <c r="AO787" s="15" t="s">
        <v>1688</v>
      </c>
      <c r="AP787" s="15" t="s">
        <v>1742</v>
      </c>
      <c r="AQ787" s="8" t="s">
        <v>1770</v>
      </c>
      <c r="AS787" s="14">
        <f>AM787+AN787</f>
        <v>0</v>
      </c>
      <c r="AT787" s="14">
        <f>G787/(100-AU787)*100</f>
        <v>0</v>
      </c>
      <c r="AU787" s="14">
        <v>0</v>
      </c>
      <c r="AV787" s="14">
        <f>L787</f>
        <v>1.3115484</v>
      </c>
    </row>
    <row r="788" spans="1:13" ht="12.75">
      <c r="A788" s="102"/>
      <c r="B788" s="102"/>
      <c r="C788" s="102"/>
      <c r="D788" s="103" t="s">
        <v>1433</v>
      </c>
      <c r="E788" s="102"/>
      <c r="F788" s="104">
        <v>25.02</v>
      </c>
      <c r="G788" s="102"/>
      <c r="H788" s="102"/>
      <c r="I788" s="102"/>
      <c r="J788" s="102"/>
      <c r="K788" s="102"/>
      <c r="L788" s="102"/>
      <c r="M788" s="102"/>
    </row>
    <row r="789" spans="1:48" ht="12.75">
      <c r="A789" s="99" t="s">
        <v>274</v>
      </c>
      <c r="B789" s="99" t="s">
        <v>407</v>
      </c>
      <c r="C789" s="99" t="s">
        <v>461</v>
      </c>
      <c r="D789" s="99" t="s">
        <v>929</v>
      </c>
      <c r="E789" s="99" t="s">
        <v>1643</v>
      </c>
      <c r="F789" s="100">
        <v>25.02</v>
      </c>
      <c r="G789" s="100">
        <v>0</v>
      </c>
      <c r="H789" s="100">
        <f>F789*AE789</f>
        <v>0</v>
      </c>
      <c r="I789" s="100">
        <f>J789-H789</f>
        <v>0</v>
      </c>
      <c r="J789" s="100">
        <f>F789*G789</f>
        <v>0</v>
      </c>
      <c r="K789" s="100">
        <v>0</v>
      </c>
      <c r="L789" s="100">
        <f>F789*K789</f>
        <v>0</v>
      </c>
      <c r="M789" s="101" t="s">
        <v>1667</v>
      </c>
      <c r="P789" s="14">
        <f>IF(AG789="5",J789,0)</f>
        <v>0</v>
      </c>
      <c r="R789" s="14">
        <f>IF(AG789="1",H789,0)</f>
        <v>0</v>
      </c>
      <c r="S789" s="14">
        <f>IF(AG789="1",I789,0)</f>
        <v>0</v>
      </c>
      <c r="T789" s="14">
        <f>IF(AG789="7",H789,0)</f>
        <v>0</v>
      </c>
      <c r="U789" s="14">
        <f>IF(AG789="7",I789,0)</f>
        <v>0</v>
      </c>
      <c r="V789" s="14">
        <f>IF(AG789="2",H789,0)</f>
        <v>0</v>
      </c>
      <c r="W789" s="14">
        <f>IF(AG789="2",I789,0)</f>
        <v>0</v>
      </c>
      <c r="X789" s="14">
        <f>IF(AG789="0",J789,0)</f>
        <v>0</v>
      </c>
      <c r="Y789" s="8" t="s">
        <v>407</v>
      </c>
      <c r="Z789" s="5">
        <f>IF(AD789=0,J789,0)</f>
        <v>0</v>
      </c>
      <c r="AA789" s="5">
        <f>IF(AD789=15,J789,0)</f>
        <v>0</v>
      </c>
      <c r="AB789" s="5">
        <f>IF(AD789=21,J789,0)</f>
        <v>0</v>
      </c>
      <c r="AD789" s="14">
        <v>15</v>
      </c>
      <c r="AE789" s="14">
        <f>G789*0</f>
        <v>0</v>
      </c>
      <c r="AF789" s="14">
        <f>G789*(1-0)</f>
        <v>0</v>
      </c>
      <c r="AG789" s="10" t="s">
        <v>7</v>
      </c>
      <c r="AM789" s="14">
        <f>F789*AE789</f>
        <v>0</v>
      </c>
      <c r="AN789" s="14">
        <f>F789*AF789</f>
        <v>0</v>
      </c>
      <c r="AO789" s="15" t="s">
        <v>1688</v>
      </c>
      <c r="AP789" s="15" t="s">
        <v>1742</v>
      </c>
      <c r="AQ789" s="8" t="s">
        <v>1770</v>
      </c>
      <c r="AS789" s="14">
        <f>AM789+AN789</f>
        <v>0</v>
      </c>
      <c r="AT789" s="14">
        <f>G789/(100-AU789)*100</f>
        <v>0</v>
      </c>
      <c r="AU789" s="14">
        <v>0</v>
      </c>
      <c r="AV789" s="14">
        <f>L789</f>
        <v>0</v>
      </c>
    </row>
    <row r="790" spans="1:48" ht="12.75">
      <c r="A790" s="99" t="s">
        <v>275</v>
      </c>
      <c r="B790" s="99" t="s">
        <v>407</v>
      </c>
      <c r="C790" s="99" t="s">
        <v>464</v>
      </c>
      <c r="D790" s="99" t="s">
        <v>934</v>
      </c>
      <c r="E790" s="99" t="s">
        <v>1642</v>
      </c>
      <c r="F790" s="100">
        <v>0.15</v>
      </c>
      <c r="G790" s="100">
        <v>0</v>
      </c>
      <c r="H790" s="100">
        <f>F790*AE790</f>
        <v>0</v>
      </c>
      <c r="I790" s="100">
        <f>J790-H790</f>
        <v>0</v>
      </c>
      <c r="J790" s="100">
        <f>F790*G790</f>
        <v>0</v>
      </c>
      <c r="K790" s="100">
        <v>1.01665</v>
      </c>
      <c r="L790" s="100">
        <f>F790*K790</f>
        <v>0.1524975</v>
      </c>
      <c r="M790" s="101" t="s">
        <v>1667</v>
      </c>
      <c r="P790" s="14">
        <f>IF(AG790="5",J790,0)</f>
        <v>0</v>
      </c>
      <c r="R790" s="14">
        <f>IF(AG790="1",H790,0)</f>
        <v>0</v>
      </c>
      <c r="S790" s="14">
        <f>IF(AG790="1",I790,0)</f>
        <v>0</v>
      </c>
      <c r="T790" s="14">
        <f>IF(AG790="7",H790,0)</f>
        <v>0</v>
      </c>
      <c r="U790" s="14">
        <f>IF(AG790="7",I790,0)</f>
        <v>0</v>
      </c>
      <c r="V790" s="14">
        <f>IF(AG790="2",H790,0)</f>
        <v>0</v>
      </c>
      <c r="W790" s="14">
        <f>IF(AG790="2",I790,0)</f>
        <v>0</v>
      </c>
      <c r="X790" s="14">
        <f>IF(AG790="0",J790,0)</f>
        <v>0</v>
      </c>
      <c r="Y790" s="8" t="s">
        <v>407</v>
      </c>
      <c r="Z790" s="5">
        <f>IF(AD790=0,J790,0)</f>
        <v>0</v>
      </c>
      <c r="AA790" s="5">
        <f>IF(AD790=15,J790,0)</f>
        <v>0</v>
      </c>
      <c r="AB790" s="5">
        <f>IF(AD790=21,J790,0)</f>
        <v>0</v>
      </c>
      <c r="AD790" s="14">
        <v>15</v>
      </c>
      <c r="AE790" s="14">
        <f>G790*0.6683097991479</f>
        <v>0</v>
      </c>
      <c r="AF790" s="14">
        <f>G790*(1-0.6683097991479)</f>
        <v>0</v>
      </c>
      <c r="AG790" s="10" t="s">
        <v>7</v>
      </c>
      <c r="AM790" s="14">
        <f>F790*AE790</f>
        <v>0</v>
      </c>
      <c r="AN790" s="14">
        <f>F790*AF790</f>
        <v>0</v>
      </c>
      <c r="AO790" s="15" t="s">
        <v>1688</v>
      </c>
      <c r="AP790" s="15" t="s">
        <v>1742</v>
      </c>
      <c r="AQ790" s="8" t="s">
        <v>1770</v>
      </c>
      <c r="AS790" s="14">
        <f>AM790+AN790</f>
        <v>0</v>
      </c>
      <c r="AT790" s="14">
        <f>G790/(100-AU790)*100</f>
        <v>0</v>
      </c>
      <c r="AU790" s="14">
        <v>0</v>
      </c>
      <c r="AV790" s="14">
        <f>L790</f>
        <v>0.1524975</v>
      </c>
    </row>
    <row r="791" spans="1:13" ht="12.75">
      <c r="A791" s="102"/>
      <c r="B791" s="102"/>
      <c r="C791" s="102"/>
      <c r="D791" s="103" t="s">
        <v>1434</v>
      </c>
      <c r="E791" s="102"/>
      <c r="F791" s="104">
        <v>0.07</v>
      </c>
      <c r="G791" s="102"/>
      <c r="H791" s="102"/>
      <c r="I791" s="102"/>
      <c r="J791" s="102"/>
      <c r="K791" s="102"/>
      <c r="L791" s="102"/>
      <c r="M791" s="102"/>
    </row>
    <row r="792" spans="1:13" ht="12.75">
      <c r="A792" s="102"/>
      <c r="B792" s="102"/>
      <c r="C792" s="102"/>
      <c r="D792" s="103" t="s">
        <v>1435</v>
      </c>
      <c r="E792" s="102"/>
      <c r="F792" s="104">
        <v>0.04</v>
      </c>
      <c r="G792" s="102"/>
      <c r="H792" s="102"/>
      <c r="I792" s="102"/>
      <c r="J792" s="102"/>
      <c r="K792" s="102"/>
      <c r="L792" s="102"/>
      <c r="M792" s="102"/>
    </row>
    <row r="793" spans="1:13" ht="12.75">
      <c r="A793" s="102"/>
      <c r="B793" s="102"/>
      <c r="C793" s="102"/>
      <c r="D793" s="103" t="s">
        <v>1436</v>
      </c>
      <c r="E793" s="102"/>
      <c r="F793" s="104">
        <v>0.04</v>
      </c>
      <c r="G793" s="102"/>
      <c r="H793" s="102"/>
      <c r="I793" s="102"/>
      <c r="J793" s="102"/>
      <c r="K793" s="102"/>
      <c r="L793" s="102"/>
      <c r="M793" s="102"/>
    </row>
    <row r="794" spans="1:48" ht="12.75">
      <c r="A794" s="99" t="s">
        <v>276</v>
      </c>
      <c r="B794" s="99" t="s">
        <v>407</v>
      </c>
      <c r="C794" s="99" t="s">
        <v>462</v>
      </c>
      <c r="D794" s="99" t="s">
        <v>930</v>
      </c>
      <c r="E794" s="99" t="s">
        <v>1640</v>
      </c>
      <c r="F794" s="100">
        <v>6.38</v>
      </c>
      <c r="G794" s="100">
        <v>0</v>
      </c>
      <c r="H794" s="100">
        <f>F794*AE794</f>
        <v>0</v>
      </c>
      <c r="I794" s="100">
        <f>J794-H794</f>
        <v>0</v>
      </c>
      <c r="J794" s="100">
        <f>F794*G794</f>
        <v>0</v>
      </c>
      <c r="K794" s="100">
        <v>0.00782</v>
      </c>
      <c r="L794" s="100">
        <f>F794*K794</f>
        <v>0.0498916</v>
      </c>
      <c r="M794" s="101" t="s">
        <v>1667</v>
      </c>
      <c r="P794" s="14">
        <f>IF(AG794="5",J794,0)</f>
        <v>0</v>
      </c>
      <c r="R794" s="14">
        <f>IF(AG794="1",H794,0)</f>
        <v>0</v>
      </c>
      <c r="S794" s="14">
        <f>IF(AG794="1",I794,0)</f>
        <v>0</v>
      </c>
      <c r="T794" s="14">
        <f>IF(AG794="7",H794,0)</f>
        <v>0</v>
      </c>
      <c r="U794" s="14">
        <f>IF(AG794="7",I794,0)</f>
        <v>0</v>
      </c>
      <c r="V794" s="14">
        <f>IF(AG794="2",H794,0)</f>
        <v>0</v>
      </c>
      <c r="W794" s="14">
        <f>IF(AG794="2",I794,0)</f>
        <v>0</v>
      </c>
      <c r="X794" s="14">
        <f>IF(AG794="0",J794,0)</f>
        <v>0</v>
      </c>
      <c r="Y794" s="8" t="s">
        <v>407</v>
      </c>
      <c r="Z794" s="5">
        <f>IF(AD794=0,J794,0)</f>
        <v>0</v>
      </c>
      <c r="AA794" s="5">
        <f>IF(AD794=15,J794,0)</f>
        <v>0</v>
      </c>
      <c r="AB794" s="5">
        <f>IF(AD794=21,J794,0)</f>
        <v>0</v>
      </c>
      <c r="AD794" s="14">
        <v>15</v>
      </c>
      <c r="AE794" s="14">
        <f>G794*0.280518292682927</f>
        <v>0</v>
      </c>
      <c r="AF794" s="14">
        <f>G794*(1-0.280518292682927)</f>
        <v>0</v>
      </c>
      <c r="AG794" s="10" t="s">
        <v>7</v>
      </c>
      <c r="AM794" s="14">
        <f>F794*AE794</f>
        <v>0</v>
      </c>
      <c r="AN794" s="14">
        <f>F794*AF794</f>
        <v>0</v>
      </c>
      <c r="AO794" s="15" t="s">
        <v>1688</v>
      </c>
      <c r="AP794" s="15" t="s">
        <v>1742</v>
      </c>
      <c r="AQ794" s="8" t="s">
        <v>1770</v>
      </c>
      <c r="AS794" s="14">
        <f>AM794+AN794</f>
        <v>0</v>
      </c>
      <c r="AT794" s="14">
        <f>G794/(100-AU794)*100</f>
        <v>0</v>
      </c>
      <c r="AU794" s="14">
        <v>0</v>
      </c>
      <c r="AV794" s="14">
        <f>L794</f>
        <v>0.0498916</v>
      </c>
    </row>
    <row r="795" spans="1:13" ht="12.75">
      <c r="A795" s="102"/>
      <c r="B795" s="102"/>
      <c r="C795" s="102"/>
      <c r="D795" s="103" t="s">
        <v>1437</v>
      </c>
      <c r="E795" s="102"/>
      <c r="F795" s="104">
        <v>6.38</v>
      </c>
      <c r="G795" s="102"/>
      <c r="H795" s="102"/>
      <c r="I795" s="102"/>
      <c r="J795" s="102"/>
      <c r="K795" s="102"/>
      <c r="L795" s="102"/>
      <c r="M795" s="102"/>
    </row>
    <row r="796" spans="1:48" ht="12.75">
      <c r="A796" s="99" t="s">
        <v>277</v>
      </c>
      <c r="B796" s="99" t="s">
        <v>407</v>
      </c>
      <c r="C796" s="99" t="s">
        <v>463</v>
      </c>
      <c r="D796" s="99" t="s">
        <v>933</v>
      </c>
      <c r="E796" s="99" t="s">
        <v>1640</v>
      </c>
      <c r="F796" s="100">
        <v>6.38</v>
      </c>
      <c r="G796" s="100">
        <v>0</v>
      </c>
      <c r="H796" s="100">
        <f>F796*AE796</f>
        <v>0</v>
      </c>
      <c r="I796" s="100">
        <f>J796-H796</f>
        <v>0</v>
      </c>
      <c r="J796" s="100">
        <f>F796*G796</f>
        <v>0</v>
      </c>
      <c r="K796" s="100">
        <v>0</v>
      </c>
      <c r="L796" s="100">
        <f>F796*K796</f>
        <v>0</v>
      </c>
      <c r="M796" s="101" t="s">
        <v>1667</v>
      </c>
      <c r="P796" s="14">
        <f>IF(AG796="5",J796,0)</f>
        <v>0</v>
      </c>
      <c r="R796" s="14">
        <f>IF(AG796="1",H796,0)</f>
        <v>0</v>
      </c>
      <c r="S796" s="14">
        <f>IF(AG796="1",I796,0)</f>
        <v>0</v>
      </c>
      <c r="T796" s="14">
        <f>IF(AG796="7",H796,0)</f>
        <v>0</v>
      </c>
      <c r="U796" s="14">
        <f>IF(AG796="7",I796,0)</f>
        <v>0</v>
      </c>
      <c r="V796" s="14">
        <f>IF(AG796="2",H796,0)</f>
        <v>0</v>
      </c>
      <c r="W796" s="14">
        <f>IF(AG796="2",I796,0)</f>
        <v>0</v>
      </c>
      <c r="X796" s="14">
        <f>IF(AG796="0",J796,0)</f>
        <v>0</v>
      </c>
      <c r="Y796" s="8" t="s">
        <v>407</v>
      </c>
      <c r="Z796" s="5">
        <f>IF(AD796=0,J796,0)</f>
        <v>0</v>
      </c>
      <c r="AA796" s="5">
        <f>IF(AD796=15,J796,0)</f>
        <v>0</v>
      </c>
      <c r="AB796" s="5">
        <f>IF(AD796=21,J796,0)</f>
        <v>0</v>
      </c>
      <c r="AD796" s="14">
        <v>15</v>
      </c>
      <c r="AE796" s="14">
        <f>G796*0</f>
        <v>0</v>
      </c>
      <c r="AF796" s="14">
        <f>G796*(1-0)</f>
        <v>0</v>
      </c>
      <c r="AG796" s="10" t="s">
        <v>7</v>
      </c>
      <c r="AM796" s="14">
        <f>F796*AE796</f>
        <v>0</v>
      </c>
      <c r="AN796" s="14">
        <f>F796*AF796</f>
        <v>0</v>
      </c>
      <c r="AO796" s="15" t="s">
        <v>1688</v>
      </c>
      <c r="AP796" s="15" t="s">
        <v>1742</v>
      </c>
      <c r="AQ796" s="8" t="s">
        <v>1770</v>
      </c>
      <c r="AS796" s="14">
        <f>AM796+AN796</f>
        <v>0</v>
      </c>
      <c r="AT796" s="14">
        <f>G796/(100-AU796)*100</f>
        <v>0</v>
      </c>
      <c r="AU796" s="14">
        <v>0</v>
      </c>
      <c r="AV796" s="14">
        <f>L796</f>
        <v>0</v>
      </c>
    </row>
    <row r="797" spans="1:48" ht="12.75">
      <c r="A797" s="99" t="s">
        <v>278</v>
      </c>
      <c r="B797" s="99" t="s">
        <v>407</v>
      </c>
      <c r="C797" s="99" t="s">
        <v>465</v>
      </c>
      <c r="D797" s="99" t="s">
        <v>940</v>
      </c>
      <c r="E797" s="99" t="s">
        <v>1639</v>
      </c>
      <c r="F797" s="100">
        <v>1.06</v>
      </c>
      <c r="G797" s="100">
        <v>0</v>
      </c>
      <c r="H797" s="100">
        <f>F797*AE797</f>
        <v>0</v>
      </c>
      <c r="I797" s="100">
        <f>J797-H797</f>
        <v>0</v>
      </c>
      <c r="J797" s="100">
        <f>F797*G797</f>
        <v>0</v>
      </c>
      <c r="K797" s="100">
        <v>2.52514</v>
      </c>
      <c r="L797" s="100">
        <f>F797*K797</f>
        <v>2.6766484</v>
      </c>
      <c r="M797" s="101" t="s">
        <v>1667</v>
      </c>
      <c r="P797" s="14">
        <f>IF(AG797="5",J797,0)</f>
        <v>0</v>
      </c>
      <c r="R797" s="14">
        <f>IF(AG797="1",H797,0)</f>
        <v>0</v>
      </c>
      <c r="S797" s="14">
        <f>IF(AG797="1",I797,0)</f>
        <v>0</v>
      </c>
      <c r="T797" s="14">
        <f>IF(AG797="7",H797,0)</f>
        <v>0</v>
      </c>
      <c r="U797" s="14">
        <f>IF(AG797="7",I797,0)</f>
        <v>0</v>
      </c>
      <c r="V797" s="14">
        <f>IF(AG797="2",H797,0)</f>
        <v>0</v>
      </c>
      <c r="W797" s="14">
        <f>IF(AG797="2",I797,0)</f>
        <v>0</v>
      </c>
      <c r="X797" s="14">
        <f>IF(AG797="0",J797,0)</f>
        <v>0</v>
      </c>
      <c r="Y797" s="8" t="s">
        <v>407</v>
      </c>
      <c r="Z797" s="5">
        <f>IF(AD797=0,J797,0)</f>
        <v>0</v>
      </c>
      <c r="AA797" s="5">
        <f>IF(AD797=15,J797,0)</f>
        <v>0</v>
      </c>
      <c r="AB797" s="5">
        <f>IF(AD797=21,J797,0)</f>
        <v>0</v>
      </c>
      <c r="AD797" s="14">
        <v>15</v>
      </c>
      <c r="AE797" s="14">
        <f>G797*0.855556377079483</f>
        <v>0</v>
      </c>
      <c r="AF797" s="14">
        <f>G797*(1-0.855556377079483)</f>
        <v>0</v>
      </c>
      <c r="AG797" s="10" t="s">
        <v>7</v>
      </c>
      <c r="AM797" s="14">
        <f>F797*AE797</f>
        <v>0</v>
      </c>
      <c r="AN797" s="14">
        <f>F797*AF797</f>
        <v>0</v>
      </c>
      <c r="AO797" s="15" t="s">
        <v>1688</v>
      </c>
      <c r="AP797" s="15" t="s">
        <v>1742</v>
      </c>
      <c r="AQ797" s="8" t="s">
        <v>1770</v>
      </c>
      <c r="AS797" s="14">
        <f>AM797+AN797</f>
        <v>0</v>
      </c>
      <c r="AT797" s="14">
        <f>G797/(100-AU797)*100</f>
        <v>0</v>
      </c>
      <c r="AU797" s="14">
        <v>0</v>
      </c>
      <c r="AV797" s="14">
        <f>L797</f>
        <v>2.6766484</v>
      </c>
    </row>
    <row r="798" spans="1:13" ht="12.75">
      <c r="A798" s="102"/>
      <c r="B798" s="102"/>
      <c r="C798" s="102"/>
      <c r="D798" s="103" t="s">
        <v>1438</v>
      </c>
      <c r="E798" s="102"/>
      <c r="F798" s="104">
        <v>0.69</v>
      </c>
      <c r="G798" s="102"/>
      <c r="H798" s="102"/>
      <c r="I798" s="102"/>
      <c r="J798" s="102"/>
      <c r="K798" s="102"/>
      <c r="L798" s="102"/>
      <c r="M798" s="102"/>
    </row>
    <row r="799" spans="1:13" ht="12.75">
      <c r="A799" s="102"/>
      <c r="B799" s="102"/>
      <c r="C799" s="102"/>
      <c r="D799" s="103" t="s">
        <v>1439</v>
      </c>
      <c r="E799" s="102"/>
      <c r="F799" s="104">
        <v>0.37</v>
      </c>
      <c r="G799" s="102"/>
      <c r="H799" s="102"/>
      <c r="I799" s="102"/>
      <c r="J799" s="102"/>
      <c r="K799" s="102"/>
      <c r="L799" s="102"/>
      <c r="M799" s="102"/>
    </row>
    <row r="800" spans="1:37" ht="12.75">
      <c r="A800" s="93"/>
      <c r="B800" s="94" t="s">
        <v>407</v>
      </c>
      <c r="C800" s="94" t="s">
        <v>67</v>
      </c>
      <c r="D800" s="95" t="s">
        <v>955</v>
      </c>
      <c r="E800" s="96"/>
      <c r="F800" s="96"/>
      <c r="G800" s="96"/>
      <c r="H800" s="97">
        <f>SUM(H801:H806)</f>
        <v>0</v>
      </c>
      <c r="I800" s="97">
        <f>SUM(I801:I806)</f>
        <v>0</v>
      </c>
      <c r="J800" s="97">
        <f>H800+I800</f>
        <v>0</v>
      </c>
      <c r="K800" s="98"/>
      <c r="L800" s="97">
        <f>SUM(L801:L806)</f>
        <v>1.1431482000000002</v>
      </c>
      <c r="M800" s="98"/>
      <c r="Y800" s="8" t="s">
        <v>407</v>
      </c>
      <c r="AI800" s="16">
        <f>SUM(Z801:Z806)</f>
        <v>0</v>
      </c>
      <c r="AJ800" s="16">
        <f>SUM(AA801:AA806)</f>
        <v>0</v>
      </c>
      <c r="AK800" s="16">
        <f>SUM(AB801:AB806)</f>
        <v>0</v>
      </c>
    </row>
    <row r="801" spans="1:48" ht="12.75">
      <c r="A801" s="99" t="s">
        <v>279</v>
      </c>
      <c r="B801" s="99" t="s">
        <v>407</v>
      </c>
      <c r="C801" s="99" t="s">
        <v>472</v>
      </c>
      <c r="D801" s="99" t="s">
        <v>1004</v>
      </c>
      <c r="E801" s="99" t="s">
        <v>1640</v>
      </c>
      <c r="F801" s="100">
        <v>35.93</v>
      </c>
      <c r="G801" s="100">
        <v>0</v>
      </c>
      <c r="H801" s="100">
        <f>F801*AE801</f>
        <v>0</v>
      </c>
      <c r="I801" s="100">
        <f>J801-H801</f>
        <v>0</v>
      </c>
      <c r="J801" s="100">
        <f>F801*G801</f>
        <v>0</v>
      </c>
      <c r="K801" s="100">
        <v>0.01313</v>
      </c>
      <c r="L801" s="100">
        <f>F801*K801</f>
        <v>0.4717609</v>
      </c>
      <c r="M801" s="101" t="s">
        <v>1667</v>
      </c>
      <c r="P801" s="14">
        <f>IF(AG801="5",J801,0)</f>
        <v>0</v>
      </c>
      <c r="R801" s="14">
        <f>IF(AG801="1",H801,0)</f>
        <v>0</v>
      </c>
      <c r="S801" s="14">
        <f>IF(AG801="1",I801,0)</f>
        <v>0</v>
      </c>
      <c r="T801" s="14">
        <f>IF(AG801="7",H801,0)</f>
        <v>0</v>
      </c>
      <c r="U801" s="14">
        <f>IF(AG801="7",I801,0)</f>
        <v>0</v>
      </c>
      <c r="V801" s="14">
        <f>IF(AG801="2",H801,0)</f>
        <v>0</v>
      </c>
      <c r="W801" s="14">
        <f>IF(AG801="2",I801,0)</f>
        <v>0</v>
      </c>
      <c r="X801" s="14">
        <f>IF(AG801="0",J801,0)</f>
        <v>0</v>
      </c>
      <c r="Y801" s="8" t="s">
        <v>407</v>
      </c>
      <c r="Z801" s="5">
        <f>IF(AD801=0,J801,0)</f>
        <v>0</v>
      </c>
      <c r="AA801" s="5">
        <f>IF(AD801=15,J801,0)</f>
        <v>0</v>
      </c>
      <c r="AB801" s="5">
        <f>IF(AD801=21,J801,0)</f>
        <v>0</v>
      </c>
      <c r="AD801" s="14">
        <v>15</v>
      </c>
      <c r="AE801" s="14">
        <f>G801*0.334773926261512</f>
        <v>0</v>
      </c>
      <c r="AF801" s="14">
        <f>G801*(1-0.334773926261512)</f>
        <v>0</v>
      </c>
      <c r="AG801" s="10" t="s">
        <v>7</v>
      </c>
      <c r="AM801" s="14">
        <f>F801*AE801</f>
        <v>0</v>
      </c>
      <c r="AN801" s="14">
        <f>F801*AF801</f>
        <v>0</v>
      </c>
      <c r="AO801" s="15" t="s">
        <v>1690</v>
      </c>
      <c r="AP801" s="15" t="s">
        <v>1743</v>
      </c>
      <c r="AQ801" s="8" t="s">
        <v>1770</v>
      </c>
      <c r="AS801" s="14">
        <f>AM801+AN801</f>
        <v>0</v>
      </c>
      <c r="AT801" s="14">
        <f>G801/(100-AU801)*100</f>
        <v>0</v>
      </c>
      <c r="AU801" s="14">
        <v>0</v>
      </c>
      <c r="AV801" s="14">
        <f>L801</f>
        <v>0.4717609</v>
      </c>
    </row>
    <row r="802" spans="1:13" ht="12.75">
      <c r="A802" s="102"/>
      <c r="B802" s="102"/>
      <c r="C802" s="102"/>
      <c r="D802" s="103" t="s">
        <v>1440</v>
      </c>
      <c r="E802" s="102"/>
      <c r="F802" s="104">
        <v>35.93</v>
      </c>
      <c r="G802" s="102"/>
      <c r="H802" s="102"/>
      <c r="I802" s="102"/>
      <c r="J802" s="102"/>
      <c r="K802" s="102"/>
      <c r="L802" s="102"/>
      <c r="M802" s="102"/>
    </row>
    <row r="803" spans="1:48" ht="12.75">
      <c r="A803" s="99" t="s">
        <v>280</v>
      </c>
      <c r="B803" s="99" t="s">
        <v>407</v>
      </c>
      <c r="C803" s="99" t="s">
        <v>473</v>
      </c>
      <c r="D803" s="99" t="s">
        <v>1006</v>
      </c>
      <c r="E803" s="99" t="s">
        <v>1640</v>
      </c>
      <c r="F803" s="100">
        <v>35.93</v>
      </c>
      <c r="G803" s="100">
        <v>0</v>
      </c>
      <c r="H803" s="100">
        <f>F803*AE803</f>
        <v>0</v>
      </c>
      <c r="I803" s="100">
        <f>J803-H803</f>
        <v>0</v>
      </c>
      <c r="J803" s="100">
        <f>F803*G803</f>
        <v>0</v>
      </c>
      <c r="K803" s="100">
        <v>0.00411</v>
      </c>
      <c r="L803" s="100">
        <f>F803*K803</f>
        <v>0.1476723</v>
      </c>
      <c r="M803" s="101" t="s">
        <v>1667</v>
      </c>
      <c r="P803" s="14">
        <f>IF(AG803="5",J803,0)</f>
        <v>0</v>
      </c>
      <c r="R803" s="14">
        <f>IF(AG803="1",H803,0)</f>
        <v>0</v>
      </c>
      <c r="S803" s="14">
        <f>IF(AG803="1",I803,0)</f>
        <v>0</v>
      </c>
      <c r="T803" s="14">
        <f>IF(AG803="7",H803,0)</f>
        <v>0</v>
      </c>
      <c r="U803" s="14">
        <f>IF(AG803="7",I803,0)</f>
        <v>0</v>
      </c>
      <c r="V803" s="14">
        <f>IF(AG803="2",H803,0)</f>
        <v>0</v>
      </c>
      <c r="W803" s="14">
        <f>IF(AG803="2",I803,0)</f>
        <v>0</v>
      </c>
      <c r="X803" s="14">
        <f>IF(AG803="0",J803,0)</f>
        <v>0</v>
      </c>
      <c r="Y803" s="8" t="s">
        <v>407</v>
      </c>
      <c r="Z803" s="5">
        <f>IF(AD803=0,J803,0)</f>
        <v>0</v>
      </c>
      <c r="AA803" s="5">
        <f>IF(AD803=15,J803,0)</f>
        <v>0</v>
      </c>
      <c r="AB803" s="5">
        <f>IF(AD803=21,J803,0)</f>
        <v>0</v>
      </c>
      <c r="AD803" s="14">
        <v>15</v>
      </c>
      <c r="AE803" s="14">
        <f>G803*0.263207201335994</f>
        <v>0</v>
      </c>
      <c r="AF803" s="14">
        <f>G803*(1-0.263207201335994)</f>
        <v>0</v>
      </c>
      <c r="AG803" s="10" t="s">
        <v>7</v>
      </c>
      <c r="AM803" s="14">
        <f>F803*AE803</f>
        <v>0</v>
      </c>
      <c r="AN803" s="14">
        <f>F803*AF803</f>
        <v>0</v>
      </c>
      <c r="AO803" s="15" t="s">
        <v>1690</v>
      </c>
      <c r="AP803" s="15" t="s">
        <v>1743</v>
      </c>
      <c r="AQ803" s="8" t="s">
        <v>1770</v>
      </c>
      <c r="AS803" s="14">
        <f>AM803+AN803</f>
        <v>0</v>
      </c>
      <c r="AT803" s="14">
        <f>G803/(100-AU803)*100</f>
        <v>0</v>
      </c>
      <c r="AU803" s="14">
        <v>0</v>
      </c>
      <c r="AV803" s="14">
        <f>L803</f>
        <v>0.1476723</v>
      </c>
    </row>
    <row r="804" spans="1:48" ht="12.75">
      <c r="A804" s="99" t="s">
        <v>281</v>
      </c>
      <c r="B804" s="99" t="s">
        <v>407</v>
      </c>
      <c r="C804" s="99" t="s">
        <v>471</v>
      </c>
      <c r="D804" s="99" t="s">
        <v>996</v>
      </c>
      <c r="E804" s="99" t="s">
        <v>1640</v>
      </c>
      <c r="F804" s="100">
        <v>7.22</v>
      </c>
      <c r="G804" s="100">
        <v>0</v>
      </c>
      <c r="H804" s="100">
        <f>F804*AE804</f>
        <v>0</v>
      </c>
      <c r="I804" s="100">
        <f>J804-H804</f>
        <v>0</v>
      </c>
      <c r="J804" s="100">
        <f>F804*G804</f>
        <v>0</v>
      </c>
      <c r="K804" s="100">
        <v>0.00367</v>
      </c>
      <c r="L804" s="100">
        <f>F804*K804</f>
        <v>0.0264974</v>
      </c>
      <c r="M804" s="101" t="s">
        <v>1667</v>
      </c>
      <c r="P804" s="14">
        <f>IF(AG804="5",J804,0)</f>
        <v>0</v>
      </c>
      <c r="R804" s="14">
        <f>IF(AG804="1",H804,0)</f>
        <v>0</v>
      </c>
      <c r="S804" s="14">
        <f>IF(AG804="1",I804,0)</f>
        <v>0</v>
      </c>
      <c r="T804" s="14">
        <f>IF(AG804="7",H804,0)</f>
        <v>0</v>
      </c>
      <c r="U804" s="14">
        <f>IF(AG804="7",I804,0)</f>
        <v>0</v>
      </c>
      <c r="V804" s="14">
        <f>IF(AG804="2",H804,0)</f>
        <v>0</v>
      </c>
      <c r="W804" s="14">
        <f>IF(AG804="2",I804,0)</f>
        <v>0</v>
      </c>
      <c r="X804" s="14">
        <f>IF(AG804="0",J804,0)</f>
        <v>0</v>
      </c>
      <c r="Y804" s="8" t="s">
        <v>407</v>
      </c>
      <c r="Z804" s="5">
        <f>IF(AD804=0,J804,0)</f>
        <v>0</v>
      </c>
      <c r="AA804" s="5">
        <f>IF(AD804=15,J804,0)</f>
        <v>0</v>
      </c>
      <c r="AB804" s="5">
        <f>IF(AD804=21,J804,0)</f>
        <v>0</v>
      </c>
      <c r="AD804" s="14">
        <v>15</v>
      </c>
      <c r="AE804" s="14">
        <f>G804*0.283412073490814</f>
        <v>0</v>
      </c>
      <c r="AF804" s="14">
        <f>G804*(1-0.283412073490814)</f>
        <v>0</v>
      </c>
      <c r="AG804" s="10" t="s">
        <v>7</v>
      </c>
      <c r="AM804" s="14">
        <f>F804*AE804</f>
        <v>0</v>
      </c>
      <c r="AN804" s="14">
        <f>F804*AF804</f>
        <v>0</v>
      </c>
      <c r="AO804" s="15" t="s">
        <v>1690</v>
      </c>
      <c r="AP804" s="15" t="s">
        <v>1743</v>
      </c>
      <c r="AQ804" s="8" t="s">
        <v>1770</v>
      </c>
      <c r="AS804" s="14">
        <f>AM804+AN804</f>
        <v>0</v>
      </c>
      <c r="AT804" s="14">
        <f>G804/(100-AU804)*100</f>
        <v>0</v>
      </c>
      <c r="AU804" s="14">
        <v>0</v>
      </c>
      <c r="AV804" s="14">
        <f>L804</f>
        <v>0.0264974</v>
      </c>
    </row>
    <row r="805" spans="1:13" ht="12.75">
      <c r="A805" s="102"/>
      <c r="B805" s="102"/>
      <c r="C805" s="102"/>
      <c r="D805" s="103" t="s">
        <v>1441</v>
      </c>
      <c r="E805" s="102"/>
      <c r="F805" s="104">
        <v>7.22</v>
      </c>
      <c r="G805" s="102"/>
      <c r="H805" s="102"/>
      <c r="I805" s="102"/>
      <c r="J805" s="102"/>
      <c r="K805" s="102"/>
      <c r="L805" s="102"/>
      <c r="M805" s="102"/>
    </row>
    <row r="806" spans="1:48" ht="12.75">
      <c r="A806" s="99" t="s">
        <v>282</v>
      </c>
      <c r="B806" s="99" t="s">
        <v>407</v>
      </c>
      <c r="C806" s="99" t="s">
        <v>470</v>
      </c>
      <c r="D806" s="99" t="s">
        <v>956</v>
      </c>
      <c r="E806" s="99" t="s">
        <v>1640</v>
      </c>
      <c r="F806" s="100">
        <v>61.92</v>
      </c>
      <c r="G806" s="100">
        <v>0</v>
      </c>
      <c r="H806" s="100">
        <f>F806*AE806</f>
        <v>0</v>
      </c>
      <c r="I806" s="100">
        <f>J806-H806</f>
        <v>0</v>
      </c>
      <c r="J806" s="100">
        <f>F806*G806</f>
        <v>0</v>
      </c>
      <c r="K806" s="100">
        <v>0.00803</v>
      </c>
      <c r="L806" s="100">
        <f>F806*K806</f>
        <v>0.49721760000000004</v>
      </c>
      <c r="M806" s="101" t="s">
        <v>1667</v>
      </c>
      <c r="P806" s="14">
        <f>IF(AG806="5",J806,0)</f>
        <v>0</v>
      </c>
      <c r="R806" s="14">
        <f>IF(AG806="1",H806,0)</f>
        <v>0</v>
      </c>
      <c r="S806" s="14">
        <f>IF(AG806="1",I806,0)</f>
        <v>0</v>
      </c>
      <c r="T806" s="14">
        <f>IF(AG806="7",H806,0)</f>
        <v>0</v>
      </c>
      <c r="U806" s="14">
        <f>IF(AG806="7",I806,0)</f>
        <v>0</v>
      </c>
      <c r="V806" s="14">
        <f>IF(AG806="2",H806,0)</f>
        <v>0</v>
      </c>
      <c r="W806" s="14">
        <f>IF(AG806="2",I806,0)</f>
        <v>0</v>
      </c>
      <c r="X806" s="14">
        <f>IF(AG806="0",J806,0)</f>
        <v>0</v>
      </c>
      <c r="Y806" s="8" t="s">
        <v>407</v>
      </c>
      <c r="Z806" s="5">
        <f>IF(AD806=0,J806,0)</f>
        <v>0</v>
      </c>
      <c r="AA806" s="5">
        <f>IF(AD806=15,J806,0)</f>
        <v>0</v>
      </c>
      <c r="AB806" s="5">
        <f>IF(AD806=21,J806,0)</f>
        <v>0</v>
      </c>
      <c r="AD806" s="14">
        <v>15</v>
      </c>
      <c r="AE806" s="14">
        <f>G806*0.399043659043659</f>
        <v>0</v>
      </c>
      <c r="AF806" s="14">
        <f>G806*(1-0.399043659043659)</f>
        <v>0</v>
      </c>
      <c r="AG806" s="10" t="s">
        <v>7</v>
      </c>
      <c r="AM806" s="14">
        <f>F806*AE806</f>
        <v>0</v>
      </c>
      <c r="AN806" s="14">
        <f>F806*AF806</f>
        <v>0</v>
      </c>
      <c r="AO806" s="15" t="s">
        <v>1690</v>
      </c>
      <c r="AP806" s="15" t="s">
        <v>1743</v>
      </c>
      <c r="AQ806" s="8" t="s">
        <v>1770</v>
      </c>
      <c r="AS806" s="14">
        <f>AM806+AN806</f>
        <v>0</v>
      </c>
      <c r="AT806" s="14">
        <f>G806/(100-AU806)*100</f>
        <v>0</v>
      </c>
      <c r="AU806" s="14">
        <v>0</v>
      </c>
      <c r="AV806" s="14">
        <f>L806</f>
        <v>0.49721760000000004</v>
      </c>
    </row>
    <row r="807" spans="1:13" ht="12.75">
      <c r="A807" s="102"/>
      <c r="B807" s="102"/>
      <c r="C807" s="102"/>
      <c r="D807" s="103" t="s">
        <v>1442</v>
      </c>
      <c r="E807" s="102"/>
      <c r="F807" s="104">
        <v>72.18</v>
      </c>
      <c r="G807" s="102"/>
      <c r="H807" s="102"/>
      <c r="I807" s="102"/>
      <c r="J807" s="102"/>
      <c r="K807" s="102"/>
      <c r="L807" s="102"/>
      <c r="M807" s="102"/>
    </row>
    <row r="808" spans="1:13" ht="12.75">
      <c r="A808" s="102"/>
      <c r="B808" s="102"/>
      <c r="C808" s="102"/>
      <c r="D808" s="103" t="s">
        <v>1424</v>
      </c>
      <c r="E808" s="102"/>
      <c r="F808" s="104">
        <v>-7.95</v>
      </c>
      <c r="G808" s="102"/>
      <c r="H808" s="102"/>
      <c r="I808" s="102"/>
      <c r="J808" s="102"/>
      <c r="K808" s="102"/>
      <c r="L808" s="102"/>
      <c r="M808" s="102"/>
    </row>
    <row r="809" spans="1:13" ht="12.75">
      <c r="A809" s="102"/>
      <c r="B809" s="102"/>
      <c r="C809" s="102"/>
      <c r="D809" s="103" t="s">
        <v>1422</v>
      </c>
      <c r="E809" s="102"/>
      <c r="F809" s="104">
        <v>-1.13</v>
      </c>
      <c r="G809" s="102"/>
      <c r="H809" s="102"/>
      <c r="I809" s="102"/>
      <c r="J809" s="102"/>
      <c r="K809" s="102"/>
      <c r="L809" s="102"/>
      <c r="M809" s="102"/>
    </row>
    <row r="810" spans="1:13" ht="12.75">
      <c r="A810" s="102"/>
      <c r="B810" s="102"/>
      <c r="C810" s="102"/>
      <c r="D810" s="103" t="s">
        <v>1443</v>
      </c>
      <c r="E810" s="102"/>
      <c r="F810" s="104">
        <v>0.48</v>
      </c>
      <c r="G810" s="102"/>
      <c r="H810" s="102"/>
      <c r="I810" s="102"/>
      <c r="J810" s="102"/>
      <c r="K810" s="102"/>
      <c r="L810" s="102"/>
      <c r="M810" s="102"/>
    </row>
    <row r="811" spans="1:13" ht="12.75">
      <c r="A811" s="102"/>
      <c r="B811" s="102"/>
      <c r="C811" s="102"/>
      <c r="D811" s="103" t="s">
        <v>1423</v>
      </c>
      <c r="E811" s="102"/>
      <c r="F811" s="104">
        <v>-2.2</v>
      </c>
      <c r="G811" s="102"/>
      <c r="H811" s="102"/>
      <c r="I811" s="102"/>
      <c r="J811" s="102"/>
      <c r="K811" s="102"/>
      <c r="L811" s="102"/>
      <c r="M811" s="102"/>
    </row>
    <row r="812" spans="1:13" ht="12.75">
      <c r="A812" s="102"/>
      <c r="B812" s="102"/>
      <c r="C812" s="102"/>
      <c r="D812" s="103" t="s">
        <v>1444</v>
      </c>
      <c r="E812" s="102"/>
      <c r="F812" s="104">
        <v>0.54</v>
      </c>
      <c r="G812" s="102"/>
      <c r="H812" s="102"/>
      <c r="I812" s="102"/>
      <c r="J812" s="102"/>
      <c r="K812" s="102"/>
      <c r="L812" s="102"/>
      <c r="M812" s="102"/>
    </row>
    <row r="813" spans="1:37" ht="12.75">
      <c r="A813" s="93"/>
      <c r="B813" s="94" t="s">
        <v>407</v>
      </c>
      <c r="C813" s="94" t="s">
        <v>68</v>
      </c>
      <c r="D813" s="95" t="s">
        <v>1008</v>
      </c>
      <c r="E813" s="96"/>
      <c r="F813" s="96"/>
      <c r="G813" s="96"/>
      <c r="H813" s="97">
        <f>SUM(H814:H827)</f>
        <v>0</v>
      </c>
      <c r="I813" s="97">
        <f>SUM(I814:I827)</f>
        <v>0</v>
      </c>
      <c r="J813" s="97">
        <f>H813+I813</f>
        <v>0</v>
      </c>
      <c r="K813" s="98"/>
      <c r="L813" s="97">
        <f>SUM(L814:L827)</f>
        <v>0.7508111000000001</v>
      </c>
      <c r="M813" s="98"/>
      <c r="Y813" s="8" t="s">
        <v>407</v>
      </c>
      <c r="AI813" s="16">
        <f>SUM(Z814:Z827)</f>
        <v>0</v>
      </c>
      <c r="AJ813" s="16">
        <f>SUM(AA814:AA827)</f>
        <v>0</v>
      </c>
      <c r="AK813" s="16">
        <f>SUM(AB814:AB827)</f>
        <v>0</v>
      </c>
    </row>
    <row r="814" spans="1:48" ht="12.75">
      <c r="A814" s="99" t="s">
        <v>283</v>
      </c>
      <c r="B814" s="99" t="s">
        <v>407</v>
      </c>
      <c r="C814" s="99" t="s">
        <v>679</v>
      </c>
      <c r="D814" s="99" t="s">
        <v>1445</v>
      </c>
      <c r="E814" s="99" t="s">
        <v>1640</v>
      </c>
      <c r="F814" s="100">
        <v>10.85</v>
      </c>
      <c r="G814" s="100">
        <v>0</v>
      </c>
      <c r="H814" s="100">
        <f>F814*AE814</f>
        <v>0</v>
      </c>
      <c r="I814" s="100">
        <f>J814-H814</f>
        <v>0</v>
      </c>
      <c r="J814" s="100">
        <f>F814*G814</f>
        <v>0</v>
      </c>
      <c r="K814" s="100">
        <v>0.01535</v>
      </c>
      <c r="L814" s="100">
        <f>F814*K814</f>
        <v>0.16654750000000001</v>
      </c>
      <c r="M814" s="101" t="s">
        <v>1667</v>
      </c>
      <c r="P814" s="14">
        <f>IF(AG814="5",J814,0)</f>
        <v>0</v>
      </c>
      <c r="R814" s="14">
        <f>IF(AG814="1",H814,0)</f>
        <v>0</v>
      </c>
      <c r="S814" s="14">
        <f>IF(AG814="1",I814,0)</f>
        <v>0</v>
      </c>
      <c r="T814" s="14">
        <f>IF(AG814="7",H814,0)</f>
        <v>0</v>
      </c>
      <c r="U814" s="14">
        <f>IF(AG814="7",I814,0)</f>
        <v>0</v>
      </c>
      <c r="V814" s="14">
        <f>IF(AG814="2",H814,0)</f>
        <v>0</v>
      </c>
      <c r="W814" s="14">
        <f>IF(AG814="2",I814,0)</f>
        <v>0</v>
      </c>
      <c r="X814" s="14">
        <f>IF(AG814="0",J814,0)</f>
        <v>0</v>
      </c>
      <c r="Y814" s="8" t="s">
        <v>407</v>
      </c>
      <c r="Z814" s="5">
        <f>IF(AD814=0,J814,0)</f>
        <v>0</v>
      </c>
      <c r="AA814" s="5">
        <f>IF(AD814=15,J814,0)</f>
        <v>0</v>
      </c>
      <c r="AB814" s="5">
        <f>IF(AD814=21,J814,0)</f>
        <v>0</v>
      </c>
      <c r="AD814" s="14">
        <v>15</v>
      </c>
      <c r="AE814" s="14">
        <f>G814*0.594039675383228</f>
        <v>0</v>
      </c>
      <c r="AF814" s="14">
        <f>G814*(1-0.594039675383228)</f>
        <v>0</v>
      </c>
      <c r="AG814" s="10" t="s">
        <v>7</v>
      </c>
      <c r="AM814" s="14">
        <f>F814*AE814</f>
        <v>0</v>
      </c>
      <c r="AN814" s="14">
        <f>F814*AF814</f>
        <v>0</v>
      </c>
      <c r="AO814" s="15" t="s">
        <v>1691</v>
      </c>
      <c r="AP814" s="15" t="s">
        <v>1743</v>
      </c>
      <c r="AQ814" s="8" t="s">
        <v>1770</v>
      </c>
      <c r="AS814" s="14">
        <f>AM814+AN814</f>
        <v>0</v>
      </c>
      <c r="AT814" s="14">
        <f>G814/(100-AU814)*100</f>
        <v>0</v>
      </c>
      <c r="AU814" s="14">
        <v>0</v>
      </c>
      <c r="AV814" s="14">
        <f>L814</f>
        <v>0.16654750000000001</v>
      </c>
    </row>
    <row r="815" spans="1:13" ht="12.75">
      <c r="A815" s="102"/>
      <c r="B815" s="102"/>
      <c r="C815" s="102"/>
      <c r="D815" s="103" t="s">
        <v>1446</v>
      </c>
      <c r="E815" s="102"/>
      <c r="F815" s="104">
        <v>6.48</v>
      </c>
      <c r="G815" s="102"/>
      <c r="H815" s="102"/>
      <c r="I815" s="102"/>
      <c r="J815" s="102"/>
      <c r="K815" s="102"/>
      <c r="L815" s="102"/>
      <c r="M815" s="102"/>
    </row>
    <row r="816" spans="1:13" ht="12.75">
      <c r="A816" s="102"/>
      <c r="B816" s="102"/>
      <c r="C816" s="102"/>
      <c r="D816" s="103" t="s">
        <v>1447</v>
      </c>
      <c r="E816" s="102"/>
      <c r="F816" s="104">
        <v>2.13</v>
      </c>
      <c r="G816" s="102"/>
      <c r="H816" s="102"/>
      <c r="I816" s="102"/>
      <c r="J816" s="102"/>
      <c r="K816" s="102"/>
      <c r="L816" s="102"/>
      <c r="M816" s="102"/>
    </row>
    <row r="817" spans="1:13" ht="12.75">
      <c r="A817" s="102"/>
      <c r="B817" s="102"/>
      <c r="C817" s="102"/>
      <c r="D817" s="103" t="s">
        <v>1448</v>
      </c>
      <c r="E817" s="102"/>
      <c r="F817" s="104">
        <v>2.24</v>
      </c>
      <c r="G817" s="102"/>
      <c r="H817" s="102"/>
      <c r="I817" s="102"/>
      <c r="J817" s="102"/>
      <c r="K817" s="102"/>
      <c r="L817" s="102"/>
      <c r="M817" s="102"/>
    </row>
    <row r="818" spans="1:48" ht="12.75">
      <c r="A818" s="99" t="s">
        <v>284</v>
      </c>
      <c r="B818" s="99" t="s">
        <v>407</v>
      </c>
      <c r="C818" s="99" t="s">
        <v>474</v>
      </c>
      <c r="D818" s="99" t="s">
        <v>996</v>
      </c>
      <c r="E818" s="99" t="s">
        <v>1640</v>
      </c>
      <c r="F818" s="100">
        <v>2.88</v>
      </c>
      <c r="G818" s="100">
        <v>0</v>
      </c>
      <c r="H818" s="100">
        <f>F818*AE818</f>
        <v>0</v>
      </c>
      <c r="I818" s="100">
        <f>J818-H818</f>
        <v>0</v>
      </c>
      <c r="J818" s="100">
        <f>F818*G818</f>
        <v>0</v>
      </c>
      <c r="K818" s="100">
        <v>0.00367</v>
      </c>
      <c r="L818" s="100">
        <f>F818*K818</f>
        <v>0.0105696</v>
      </c>
      <c r="M818" s="101" t="s">
        <v>1667</v>
      </c>
      <c r="P818" s="14">
        <f>IF(AG818="5",J818,0)</f>
        <v>0</v>
      </c>
      <c r="R818" s="14">
        <f>IF(AG818="1",H818,0)</f>
        <v>0</v>
      </c>
      <c r="S818" s="14">
        <f>IF(AG818="1",I818,0)</f>
        <v>0</v>
      </c>
      <c r="T818" s="14">
        <f>IF(AG818="7",H818,0)</f>
        <v>0</v>
      </c>
      <c r="U818" s="14">
        <f>IF(AG818="7",I818,0)</f>
        <v>0</v>
      </c>
      <c r="V818" s="14">
        <f>IF(AG818="2",H818,0)</f>
        <v>0</v>
      </c>
      <c r="W818" s="14">
        <f>IF(AG818="2",I818,0)</f>
        <v>0</v>
      </c>
      <c r="X818" s="14">
        <f>IF(AG818="0",J818,0)</f>
        <v>0</v>
      </c>
      <c r="Y818" s="8" t="s">
        <v>407</v>
      </c>
      <c r="Z818" s="5">
        <f>IF(AD818=0,J818,0)</f>
        <v>0</v>
      </c>
      <c r="AA818" s="5">
        <f>IF(AD818=15,J818,0)</f>
        <v>0</v>
      </c>
      <c r="AB818" s="5">
        <f>IF(AD818=21,J818,0)</f>
        <v>0</v>
      </c>
      <c r="AD818" s="14">
        <v>15</v>
      </c>
      <c r="AE818" s="14">
        <f>G818*0.283412073490814</f>
        <v>0</v>
      </c>
      <c r="AF818" s="14">
        <f>G818*(1-0.283412073490814)</f>
        <v>0</v>
      </c>
      <c r="AG818" s="10" t="s">
        <v>7</v>
      </c>
      <c r="AM818" s="14">
        <f>F818*AE818</f>
        <v>0</v>
      </c>
      <c r="AN818" s="14">
        <f>F818*AF818</f>
        <v>0</v>
      </c>
      <c r="AO818" s="15" t="s">
        <v>1691</v>
      </c>
      <c r="AP818" s="15" t="s">
        <v>1743</v>
      </c>
      <c r="AQ818" s="8" t="s">
        <v>1770</v>
      </c>
      <c r="AS818" s="14">
        <f>AM818+AN818</f>
        <v>0</v>
      </c>
      <c r="AT818" s="14">
        <f>G818/(100-AU818)*100</f>
        <v>0</v>
      </c>
      <c r="AU818" s="14">
        <v>0</v>
      </c>
      <c r="AV818" s="14">
        <f>L818</f>
        <v>0.0105696</v>
      </c>
    </row>
    <row r="819" spans="1:13" ht="12.75">
      <c r="A819" s="102"/>
      <c r="B819" s="102"/>
      <c r="C819" s="102"/>
      <c r="D819" s="103" t="s">
        <v>1449</v>
      </c>
      <c r="E819" s="102"/>
      <c r="F819" s="104">
        <v>2.88</v>
      </c>
      <c r="G819" s="102"/>
      <c r="H819" s="102"/>
      <c r="I819" s="102"/>
      <c r="J819" s="102"/>
      <c r="K819" s="102"/>
      <c r="L819" s="102"/>
      <c r="M819" s="102"/>
    </row>
    <row r="820" spans="1:48" ht="12.75">
      <c r="A820" s="99" t="s">
        <v>285</v>
      </c>
      <c r="B820" s="99" t="s">
        <v>407</v>
      </c>
      <c r="C820" s="99" t="s">
        <v>680</v>
      </c>
      <c r="D820" s="99" t="s">
        <v>1450</v>
      </c>
      <c r="E820" s="99" t="s">
        <v>1640</v>
      </c>
      <c r="F820" s="100">
        <v>23.65</v>
      </c>
      <c r="G820" s="100">
        <v>0</v>
      </c>
      <c r="H820" s="100">
        <f>F820*AE820</f>
        <v>0</v>
      </c>
      <c r="I820" s="100">
        <f>J820-H820</f>
        <v>0</v>
      </c>
      <c r="J820" s="100">
        <f>F820*G820</f>
        <v>0</v>
      </c>
      <c r="K820" s="100">
        <v>0.0205</v>
      </c>
      <c r="L820" s="100">
        <f>F820*K820</f>
        <v>0.484825</v>
      </c>
      <c r="M820" s="101" t="s">
        <v>1667</v>
      </c>
      <c r="P820" s="14">
        <f>IF(AG820="5",J820,0)</f>
        <v>0</v>
      </c>
      <c r="R820" s="14">
        <f>IF(AG820="1",H820,0)</f>
        <v>0</v>
      </c>
      <c r="S820" s="14">
        <f>IF(AG820="1",I820,0)</f>
        <v>0</v>
      </c>
      <c r="T820" s="14">
        <f>IF(AG820="7",H820,0)</f>
        <v>0</v>
      </c>
      <c r="U820" s="14">
        <f>IF(AG820="7",I820,0)</f>
        <v>0</v>
      </c>
      <c r="V820" s="14">
        <f>IF(AG820="2",H820,0)</f>
        <v>0</v>
      </c>
      <c r="W820" s="14">
        <f>IF(AG820="2",I820,0)</f>
        <v>0</v>
      </c>
      <c r="X820" s="14">
        <f>IF(AG820="0",J820,0)</f>
        <v>0</v>
      </c>
      <c r="Y820" s="8" t="s">
        <v>407</v>
      </c>
      <c r="Z820" s="5">
        <f>IF(AD820=0,J820,0)</f>
        <v>0</v>
      </c>
      <c r="AA820" s="5">
        <f>IF(AD820=15,J820,0)</f>
        <v>0</v>
      </c>
      <c r="AB820" s="5">
        <f>IF(AD820=21,J820,0)</f>
        <v>0</v>
      </c>
      <c r="AD820" s="14">
        <v>15</v>
      </c>
      <c r="AE820" s="14">
        <f>G820*0.420689655172414</f>
        <v>0</v>
      </c>
      <c r="AF820" s="14">
        <f>G820*(1-0.420689655172414)</f>
        <v>0</v>
      </c>
      <c r="AG820" s="10" t="s">
        <v>7</v>
      </c>
      <c r="AM820" s="14">
        <f>F820*AE820</f>
        <v>0</v>
      </c>
      <c r="AN820" s="14">
        <f>F820*AF820</f>
        <v>0</v>
      </c>
      <c r="AO820" s="15" t="s">
        <v>1691</v>
      </c>
      <c r="AP820" s="15" t="s">
        <v>1743</v>
      </c>
      <c r="AQ820" s="8" t="s">
        <v>1770</v>
      </c>
      <c r="AS820" s="14">
        <f>AM820+AN820</f>
        <v>0</v>
      </c>
      <c r="AT820" s="14">
        <f>G820/(100-AU820)*100</f>
        <v>0</v>
      </c>
      <c r="AU820" s="14">
        <v>0</v>
      </c>
      <c r="AV820" s="14">
        <f>L820</f>
        <v>0.484825</v>
      </c>
    </row>
    <row r="821" spans="1:13" ht="12.75">
      <c r="A821" s="102"/>
      <c r="B821" s="102"/>
      <c r="C821" s="102"/>
      <c r="D821" s="103" t="s">
        <v>1451</v>
      </c>
      <c r="E821" s="102"/>
      <c r="F821" s="104">
        <v>20.82</v>
      </c>
      <c r="G821" s="102"/>
      <c r="H821" s="102"/>
      <c r="I821" s="102"/>
      <c r="J821" s="102"/>
      <c r="K821" s="102"/>
      <c r="L821" s="102"/>
      <c r="M821" s="102"/>
    </row>
    <row r="822" spans="1:13" ht="12.75">
      <c r="A822" s="102"/>
      <c r="B822" s="102"/>
      <c r="C822" s="102"/>
      <c r="D822" s="103" t="s">
        <v>1452</v>
      </c>
      <c r="E822" s="102"/>
      <c r="F822" s="104">
        <v>0.3</v>
      </c>
      <c r="G822" s="102"/>
      <c r="H822" s="102"/>
      <c r="I822" s="102"/>
      <c r="J822" s="102"/>
      <c r="K822" s="102"/>
      <c r="L822" s="102"/>
      <c r="M822" s="102"/>
    </row>
    <row r="823" spans="1:13" ht="12.75">
      <c r="A823" s="102"/>
      <c r="B823" s="102"/>
      <c r="C823" s="102"/>
      <c r="D823" s="103" t="s">
        <v>1444</v>
      </c>
      <c r="E823" s="102"/>
      <c r="F823" s="104">
        <v>0.54</v>
      </c>
      <c r="G823" s="102"/>
      <c r="H823" s="102"/>
      <c r="I823" s="102"/>
      <c r="J823" s="102"/>
      <c r="K823" s="102"/>
      <c r="L823" s="102"/>
      <c r="M823" s="102"/>
    </row>
    <row r="824" spans="1:13" ht="12.75">
      <c r="A824" s="102"/>
      <c r="B824" s="102"/>
      <c r="C824" s="102"/>
      <c r="D824" s="103" t="s">
        <v>1453</v>
      </c>
      <c r="E824" s="102"/>
      <c r="F824" s="104">
        <v>1.99</v>
      </c>
      <c r="G824" s="102"/>
      <c r="H824" s="102"/>
      <c r="I824" s="102"/>
      <c r="J824" s="102"/>
      <c r="K824" s="102"/>
      <c r="L824" s="102"/>
      <c r="M824" s="102"/>
    </row>
    <row r="825" spans="1:48" ht="12.75">
      <c r="A825" s="99" t="s">
        <v>286</v>
      </c>
      <c r="B825" s="99" t="s">
        <v>407</v>
      </c>
      <c r="C825" s="99" t="s">
        <v>681</v>
      </c>
      <c r="D825" s="99" t="s">
        <v>1454</v>
      </c>
      <c r="E825" s="99" t="s">
        <v>1640</v>
      </c>
      <c r="F825" s="100">
        <v>23.65</v>
      </c>
      <c r="G825" s="100">
        <v>0</v>
      </c>
      <c r="H825" s="100">
        <f>F825*AE825</f>
        <v>0</v>
      </c>
      <c r="I825" s="100">
        <f>J825-H825</f>
        <v>0</v>
      </c>
      <c r="J825" s="100">
        <f>F825*G825</f>
        <v>0</v>
      </c>
      <c r="K825" s="100">
        <v>0.00347</v>
      </c>
      <c r="L825" s="100">
        <f>F825*K825</f>
        <v>0.0820655</v>
      </c>
      <c r="M825" s="101" t="s">
        <v>1667</v>
      </c>
      <c r="P825" s="14">
        <f>IF(AG825="5",J825,0)</f>
        <v>0</v>
      </c>
      <c r="R825" s="14">
        <f>IF(AG825="1",H825,0)</f>
        <v>0</v>
      </c>
      <c r="S825" s="14">
        <f>IF(AG825="1",I825,0)</f>
        <v>0</v>
      </c>
      <c r="T825" s="14">
        <f>IF(AG825="7",H825,0)</f>
        <v>0</v>
      </c>
      <c r="U825" s="14">
        <f>IF(AG825="7",I825,0)</f>
        <v>0</v>
      </c>
      <c r="V825" s="14">
        <f>IF(AG825="2",H825,0)</f>
        <v>0</v>
      </c>
      <c r="W825" s="14">
        <f>IF(AG825="2",I825,0)</f>
        <v>0</v>
      </c>
      <c r="X825" s="14">
        <f>IF(AG825="0",J825,0)</f>
        <v>0</v>
      </c>
      <c r="Y825" s="8" t="s">
        <v>407</v>
      </c>
      <c r="Z825" s="5">
        <f>IF(AD825=0,J825,0)</f>
        <v>0</v>
      </c>
      <c r="AA825" s="5">
        <f>IF(AD825=15,J825,0)</f>
        <v>0</v>
      </c>
      <c r="AB825" s="5">
        <f>IF(AD825=21,J825,0)</f>
        <v>0</v>
      </c>
      <c r="AD825" s="14">
        <v>15</v>
      </c>
      <c r="AE825" s="14">
        <f>G825*0.239950805877403</f>
        <v>0</v>
      </c>
      <c r="AF825" s="14">
        <f>G825*(1-0.239950805877403)</f>
        <v>0</v>
      </c>
      <c r="AG825" s="10" t="s">
        <v>7</v>
      </c>
      <c r="AM825" s="14">
        <f>F825*AE825</f>
        <v>0</v>
      </c>
      <c r="AN825" s="14">
        <f>F825*AF825</f>
        <v>0</v>
      </c>
      <c r="AO825" s="15" t="s">
        <v>1691</v>
      </c>
      <c r="AP825" s="15" t="s">
        <v>1743</v>
      </c>
      <c r="AQ825" s="8" t="s">
        <v>1770</v>
      </c>
      <c r="AS825" s="14">
        <f>AM825+AN825</f>
        <v>0</v>
      </c>
      <c r="AT825" s="14">
        <f>G825/(100-AU825)*100</f>
        <v>0</v>
      </c>
      <c r="AU825" s="14">
        <v>0</v>
      </c>
      <c r="AV825" s="14">
        <f>L825</f>
        <v>0.0820655</v>
      </c>
    </row>
    <row r="826" spans="1:48" ht="12.75">
      <c r="A826" s="99" t="s">
        <v>287</v>
      </c>
      <c r="B826" s="99" t="s">
        <v>407</v>
      </c>
      <c r="C826" s="99" t="s">
        <v>682</v>
      </c>
      <c r="D826" s="99" t="s">
        <v>1455</v>
      </c>
      <c r="E826" s="99" t="s">
        <v>1640</v>
      </c>
      <c r="F826" s="100">
        <v>23.65</v>
      </c>
      <c r="G826" s="100">
        <v>0</v>
      </c>
      <c r="H826" s="100">
        <f>F826*AE826</f>
        <v>0</v>
      </c>
      <c r="I826" s="100">
        <f>J826-H826</f>
        <v>0</v>
      </c>
      <c r="J826" s="100">
        <f>F826*G826</f>
        <v>0</v>
      </c>
      <c r="K826" s="100">
        <v>0.00021</v>
      </c>
      <c r="L826" s="100">
        <f>F826*K826</f>
        <v>0.0049664999999999996</v>
      </c>
      <c r="M826" s="101" t="s">
        <v>1667</v>
      </c>
      <c r="P826" s="14">
        <f>IF(AG826="5",J826,0)</f>
        <v>0</v>
      </c>
      <c r="R826" s="14">
        <f>IF(AG826="1",H826,0)</f>
        <v>0</v>
      </c>
      <c r="S826" s="14">
        <f>IF(AG826="1",I826,0)</f>
        <v>0</v>
      </c>
      <c r="T826" s="14">
        <f>IF(AG826="7",H826,0)</f>
        <v>0</v>
      </c>
      <c r="U826" s="14">
        <f>IF(AG826="7",I826,0)</f>
        <v>0</v>
      </c>
      <c r="V826" s="14">
        <f>IF(AG826="2",H826,0)</f>
        <v>0</v>
      </c>
      <c r="W826" s="14">
        <f>IF(AG826="2",I826,0)</f>
        <v>0</v>
      </c>
      <c r="X826" s="14">
        <f>IF(AG826="0",J826,0)</f>
        <v>0</v>
      </c>
      <c r="Y826" s="8" t="s">
        <v>407</v>
      </c>
      <c r="Z826" s="5">
        <f>IF(AD826=0,J826,0)</f>
        <v>0</v>
      </c>
      <c r="AA826" s="5">
        <f>IF(AD826=15,J826,0)</f>
        <v>0</v>
      </c>
      <c r="AB826" s="5">
        <f>IF(AD826=21,J826,0)</f>
        <v>0</v>
      </c>
      <c r="AD826" s="14">
        <v>15</v>
      </c>
      <c r="AE826" s="14">
        <f>G826*0.31867816091954</f>
        <v>0</v>
      </c>
      <c r="AF826" s="14">
        <f>G826*(1-0.31867816091954)</f>
        <v>0</v>
      </c>
      <c r="AG826" s="10" t="s">
        <v>7</v>
      </c>
      <c r="AM826" s="14">
        <f>F826*AE826</f>
        <v>0</v>
      </c>
      <c r="AN826" s="14">
        <f>F826*AF826</f>
        <v>0</v>
      </c>
      <c r="AO826" s="15" t="s">
        <v>1691</v>
      </c>
      <c r="AP826" s="15" t="s">
        <v>1743</v>
      </c>
      <c r="AQ826" s="8" t="s">
        <v>1770</v>
      </c>
      <c r="AS826" s="14">
        <f>AM826+AN826</f>
        <v>0</v>
      </c>
      <c r="AT826" s="14">
        <f>G826/(100-AU826)*100</f>
        <v>0</v>
      </c>
      <c r="AU826" s="14">
        <v>0</v>
      </c>
      <c r="AV826" s="14">
        <f>L826</f>
        <v>0.0049664999999999996</v>
      </c>
    </row>
    <row r="827" spans="1:48" ht="12.75">
      <c r="A827" s="99" t="s">
        <v>288</v>
      </c>
      <c r="B827" s="99" t="s">
        <v>407</v>
      </c>
      <c r="C827" s="99" t="s">
        <v>683</v>
      </c>
      <c r="D827" s="99" t="s">
        <v>1456</v>
      </c>
      <c r="E827" s="99" t="s">
        <v>1643</v>
      </c>
      <c r="F827" s="100">
        <v>16.7</v>
      </c>
      <c r="G827" s="100">
        <v>0</v>
      </c>
      <c r="H827" s="100">
        <f>F827*AE827</f>
        <v>0</v>
      </c>
      <c r="I827" s="100">
        <f>J827-H827</f>
        <v>0</v>
      </c>
      <c r="J827" s="100">
        <f>F827*G827</f>
        <v>0</v>
      </c>
      <c r="K827" s="100">
        <v>0.00011</v>
      </c>
      <c r="L827" s="100">
        <f>F827*K827</f>
        <v>0.001837</v>
      </c>
      <c r="M827" s="101" t="s">
        <v>1667</v>
      </c>
      <c r="P827" s="14">
        <f>IF(AG827="5",J827,0)</f>
        <v>0</v>
      </c>
      <c r="R827" s="14">
        <f>IF(AG827="1",H827,0)</f>
        <v>0</v>
      </c>
      <c r="S827" s="14">
        <f>IF(AG827="1",I827,0)</f>
        <v>0</v>
      </c>
      <c r="T827" s="14">
        <f>IF(AG827="7",H827,0)</f>
        <v>0</v>
      </c>
      <c r="U827" s="14">
        <f>IF(AG827="7",I827,0)</f>
        <v>0</v>
      </c>
      <c r="V827" s="14">
        <f>IF(AG827="2",H827,0)</f>
        <v>0</v>
      </c>
      <c r="W827" s="14">
        <f>IF(AG827="2",I827,0)</f>
        <v>0</v>
      </c>
      <c r="X827" s="14">
        <f>IF(AG827="0",J827,0)</f>
        <v>0</v>
      </c>
      <c r="Y827" s="8" t="s">
        <v>407</v>
      </c>
      <c r="Z827" s="5">
        <f>IF(AD827=0,J827,0)</f>
        <v>0</v>
      </c>
      <c r="AA827" s="5">
        <f>IF(AD827=15,J827,0)</f>
        <v>0</v>
      </c>
      <c r="AB827" s="5">
        <f>IF(AD827=21,J827,0)</f>
        <v>0</v>
      </c>
      <c r="AD827" s="14">
        <v>15</v>
      </c>
      <c r="AE827" s="14">
        <f>G827*0.303731343283582</f>
        <v>0</v>
      </c>
      <c r="AF827" s="14">
        <f>G827*(1-0.303731343283582)</f>
        <v>0</v>
      </c>
      <c r="AG827" s="10" t="s">
        <v>7</v>
      </c>
      <c r="AM827" s="14">
        <f>F827*AE827</f>
        <v>0</v>
      </c>
      <c r="AN827" s="14">
        <f>F827*AF827</f>
        <v>0</v>
      </c>
      <c r="AO827" s="15" t="s">
        <v>1691</v>
      </c>
      <c r="AP827" s="15" t="s">
        <v>1743</v>
      </c>
      <c r="AQ827" s="8" t="s">
        <v>1770</v>
      </c>
      <c r="AS827" s="14">
        <f>AM827+AN827</f>
        <v>0</v>
      </c>
      <c r="AT827" s="14">
        <f>G827/(100-AU827)*100</f>
        <v>0</v>
      </c>
      <c r="AU827" s="14">
        <v>0</v>
      </c>
      <c r="AV827" s="14">
        <f>L827</f>
        <v>0.001837</v>
      </c>
    </row>
    <row r="828" spans="1:13" ht="12.75">
      <c r="A828" s="102"/>
      <c r="B828" s="102"/>
      <c r="C828" s="102"/>
      <c r="D828" s="103" t="s">
        <v>1457</v>
      </c>
      <c r="E828" s="102"/>
      <c r="F828" s="104">
        <v>3</v>
      </c>
      <c r="G828" s="102"/>
      <c r="H828" s="102"/>
      <c r="I828" s="102"/>
      <c r="J828" s="102"/>
      <c r="K828" s="102"/>
      <c r="L828" s="102"/>
      <c r="M828" s="102"/>
    </row>
    <row r="829" spans="1:13" ht="12.75">
      <c r="A829" s="102"/>
      <c r="B829" s="102"/>
      <c r="C829" s="102"/>
      <c r="D829" s="103" t="s">
        <v>1458</v>
      </c>
      <c r="E829" s="102"/>
      <c r="F829" s="104">
        <v>5.4</v>
      </c>
      <c r="G829" s="102"/>
      <c r="H829" s="102"/>
      <c r="I829" s="102"/>
      <c r="J829" s="102"/>
      <c r="K829" s="102"/>
      <c r="L829" s="102"/>
      <c r="M829" s="102"/>
    </row>
    <row r="830" spans="1:13" ht="12.75">
      <c r="A830" s="102"/>
      <c r="B830" s="102"/>
      <c r="C830" s="102"/>
      <c r="D830" s="103" t="s">
        <v>1459</v>
      </c>
      <c r="E830" s="102"/>
      <c r="F830" s="104">
        <v>8.3</v>
      </c>
      <c r="G830" s="102"/>
      <c r="H830" s="102"/>
      <c r="I830" s="102"/>
      <c r="J830" s="102"/>
      <c r="K830" s="102"/>
      <c r="L830" s="102"/>
      <c r="M830" s="102"/>
    </row>
    <row r="831" spans="1:37" ht="12.75">
      <c r="A831" s="93"/>
      <c r="B831" s="94" t="s">
        <v>407</v>
      </c>
      <c r="C831" s="94" t="s">
        <v>69</v>
      </c>
      <c r="D831" s="95" t="s">
        <v>1013</v>
      </c>
      <c r="E831" s="96"/>
      <c r="F831" s="96"/>
      <c r="G831" s="96"/>
      <c r="H831" s="97">
        <f>SUM(H832:H841)</f>
        <v>0</v>
      </c>
      <c r="I831" s="97">
        <f>SUM(I832:I841)</f>
        <v>0</v>
      </c>
      <c r="J831" s="97">
        <f>H831+I831</f>
        <v>0</v>
      </c>
      <c r="K831" s="98"/>
      <c r="L831" s="97">
        <f>SUM(L832:L841)</f>
        <v>16.0925625</v>
      </c>
      <c r="M831" s="98"/>
      <c r="Y831" s="8" t="s">
        <v>407</v>
      </c>
      <c r="AI831" s="16">
        <f>SUM(Z832:Z841)</f>
        <v>0</v>
      </c>
      <c r="AJ831" s="16">
        <f>SUM(AA832:AA841)</f>
        <v>0</v>
      </c>
      <c r="AK831" s="16">
        <f>SUM(AB832:AB841)</f>
        <v>0</v>
      </c>
    </row>
    <row r="832" spans="1:48" ht="12.75">
      <c r="A832" s="99" t="s">
        <v>289</v>
      </c>
      <c r="B832" s="99" t="s">
        <v>407</v>
      </c>
      <c r="C832" s="99" t="s">
        <v>684</v>
      </c>
      <c r="D832" s="99" t="s">
        <v>1460</v>
      </c>
      <c r="E832" s="99" t="s">
        <v>1639</v>
      </c>
      <c r="F832" s="100">
        <v>3.66</v>
      </c>
      <c r="G832" s="100">
        <v>0</v>
      </c>
      <c r="H832" s="100">
        <f>F832*AE832</f>
        <v>0</v>
      </c>
      <c r="I832" s="100">
        <f>J832-H832</f>
        <v>0</v>
      </c>
      <c r="J832" s="100">
        <f>F832*G832</f>
        <v>0</v>
      </c>
      <c r="K832" s="100">
        <v>2.525</v>
      </c>
      <c r="L832" s="100">
        <f>F832*K832</f>
        <v>9.2415</v>
      </c>
      <c r="M832" s="101" t="s">
        <v>1667</v>
      </c>
      <c r="P832" s="14">
        <f>IF(AG832="5",J832,0)</f>
        <v>0</v>
      </c>
      <c r="R832" s="14">
        <f>IF(AG832="1",H832,0)</f>
        <v>0</v>
      </c>
      <c r="S832" s="14">
        <f>IF(AG832="1",I832,0)</f>
        <v>0</v>
      </c>
      <c r="T832" s="14">
        <f>IF(AG832="7",H832,0)</f>
        <v>0</v>
      </c>
      <c r="U832" s="14">
        <f>IF(AG832="7",I832,0)</f>
        <v>0</v>
      </c>
      <c r="V832" s="14">
        <f>IF(AG832="2",H832,0)</f>
        <v>0</v>
      </c>
      <c r="W832" s="14">
        <f>IF(AG832="2",I832,0)</f>
        <v>0</v>
      </c>
      <c r="X832" s="14">
        <f>IF(AG832="0",J832,0)</f>
        <v>0</v>
      </c>
      <c r="Y832" s="8" t="s">
        <v>407</v>
      </c>
      <c r="Z832" s="5">
        <f>IF(AD832=0,J832,0)</f>
        <v>0</v>
      </c>
      <c r="AA832" s="5">
        <f>IF(AD832=15,J832,0)</f>
        <v>0</v>
      </c>
      <c r="AB832" s="5">
        <f>IF(AD832=21,J832,0)</f>
        <v>0</v>
      </c>
      <c r="AD832" s="14">
        <v>15</v>
      </c>
      <c r="AE832" s="14">
        <f>G832*0.746501068376068</f>
        <v>0</v>
      </c>
      <c r="AF832" s="14">
        <f>G832*(1-0.746501068376068)</f>
        <v>0</v>
      </c>
      <c r="AG832" s="10" t="s">
        <v>7</v>
      </c>
      <c r="AM832" s="14">
        <f>F832*AE832</f>
        <v>0</v>
      </c>
      <c r="AN832" s="14">
        <f>F832*AF832</f>
        <v>0</v>
      </c>
      <c r="AO832" s="15" t="s">
        <v>1692</v>
      </c>
      <c r="AP832" s="15" t="s">
        <v>1743</v>
      </c>
      <c r="AQ832" s="8" t="s">
        <v>1770</v>
      </c>
      <c r="AS832" s="14">
        <f>AM832+AN832</f>
        <v>0</v>
      </c>
      <c r="AT832" s="14">
        <f>G832/(100-AU832)*100</f>
        <v>0</v>
      </c>
      <c r="AU832" s="14">
        <v>0</v>
      </c>
      <c r="AV832" s="14">
        <f>L832</f>
        <v>9.2415</v>
      </c>
    </row>
    <row r="833" spans="1:13" ht="12.75">
      <c r="A833" s="102"/>
      <c r="B833" s="102"/>
      <c r="C833" s="102"/>
      <c r="D833" s="103" t="s">
        <v>1461</v>
      </c>
      <c r="E833" s="102"/>
      <c r="F833" s="104">
        <v>3.59</v>
      </c>
      <c r="G833" s="102"/>
      <c r="H833" s="102"/>
      <c r="I833" s="102"/>
      <c r="J833" s="102"/>
      <c r="K833" s="102"/>
      <c r="L833" s="102"/>
      <c r="M833" s="102"/>
    </row>
    <row r="834" spans="1:13" ht="12.75">
      <c r="A834" s="102"/>
      <c r="B834" s="102"/>
      <c r="C834" s="102"/>
      <c r="D834" s="103" t="s">
        <v>1462</v>
      </c>
      <c r="E834" s="102"/>
      <c r="F834" s="104">
        <v>0.07</v>
      </c>
      <c r="G834" s="102"/>
      <c r="H834" s="102"/>
      <c r="I834" s="102"/>
      <c r="J834" s="102"/>
      <c r="K834" s="102"/>
      <c r="L834" s="102"/>
      <c r="M834" s="102"/>
    </row>
    <row r="835" spans="1:48" ht="12.75">
      <c r="A835" s="99" t="s">
        <v>290</v>
      </c>
      <c r="B835" s="99" t="s">
        <v>407</v>
      </c>
      <c r="C835" s="99" t="s">
        <v>685</v>
      </c>
      <c r="D835" s="99" t="s">
        <v>1025</v>
      </c>
      <c r="E835" s="99" t="s">
        <v>1642</v>
      </c>
      <c r="F835" s="100">
        <v>0.17</v>
      </c>
      <c r="G835" s="100">
        <v>0</v>
      </c>
      <c r="H835" s="100">
        <f>F835*AE835</f>
        <v>0</v>
      </c>
      <c r="I835" s="100">
        <f>J835-H835</f>
        <v>0</v>
      </c>
      <c r="J835" s="100">
        <f>F835*G835</f>
        <v>0</v>
      </c>
      <c r="K835" s="100">
        <v>1.06625</v>
      </c>
      <c r="L835" s="100">
        <f>F835*K835</f>
        <v>0.1812625</v>
      </c>
      <c r="M835" s="101" t="s">
        <v>1667</v>
      </c>
      <c r="P835" s="14">
        <f>IF(AG835="5",J835,0)</f>
        <v>0</v>
      </c>
      <c r="R835" s="14">
        <f>IF(AG835="1",H835,0)</f>
        <v>0</v>
      </c>
      <c r="S835" s="14">
        <f>IF(AG835="1",I835,0)</f>
        <v>0</v>
      </c>
      <c r="T835" s="14">
        <f>IF(AG835="7",H835,0)</f>
        <v>0</v>
      </c>
      <c r="U835" s="14">
        <f>IF(AG835="7",I835,0)</f>
        <v>0</v>
      </c>
      <c r="V835" s="14">
        <f>IF(AG835="2",H835,0)</f>
        <v>0</v>
      </c>
      <c r="W835" s="14">
        <f>IF(AG835="2",I835,0)</f>
        <v>0</v>
      </c>
      <c r="X835" s="14">
        <f>IF(AG835="0",J835,0)</f>
        <v>0</v>
      </c>
      <c r="Y835" s="8" t="s">
        <v>407</v>
      </c>
      <c r="Z835" s="5">
        <f>IF(AD835=0,J835,0)</f>
        <v>0</v>
      </c>
      <c r="AA835" s="5">
        <f>IF(AD835=15,J835,0)</f>
        <v>0</v>
      </c>
      <c r="AB835" s="5">
        <f>IF(AD835=21,J835,0)</f>
        <v>0</v>
      </c>
      <c r="AD835" s="14">
        <v>15</v>
      </c>
      <c r="AE835" s="14">
        <f>G835*0.815490374518726</f>
        <v>0</v>
      </c>
      <c r="AF835" s="14">
        <f>G835*(1-0.815490374518726)</f>
        <v>0</v>
      </c>
      <c r="AG835" s="10" t="s">
        <v>7</v>
      </c>
      <c r="AM835" s="14">
        <f>F835*AE835</f>
        <v>0</v>
      </c>
      <c r="AN835" s="14">
        <f>F835*AF835</f>
        <v>0</v>
      </c>
      <c r="AO835" s="15" t="s">
        <v>1692</v>
      </c>
      <c r="AP835" s="15" t="s">
        <v>1743</v>
      </c>
      <c r="AQ835" s="8" t="s">
        <v>1770</v>
      </c>
      <c r="AS835" s="14">
        <f>AM835+AN835</f>
        <v>0</v>
      </c>
      <c r="AT835" s="14">
        <f>G835/(100-AU835)*100</f>
        <v>0</v>
      </c>
      <c r="AU835" s="14">
        <v>0</v>
      </c>
      <c r="AV835" s="14">
        <f>L835</f>
        <v>0.1812625</v>
      </c>
    </row>
    <row r="836" spans="1:13" ht="12.75">
      <c r="A836" s="102"/>
      <c r="B836" s="102"/>
      <c r="C836" s="102"/>
      <c r="D836" s="103" t="s">
        <v>1463</v>
      </c>
      <c r="E836" s="102"/>
      <c r="F836" s="104">
        <v>0.17</v>
      </c>
      <c r="G836" s="102"/>
      <c r="H836" s="102"/>
      <c r="I836" s="102"/>
      <c r="J836" s="102"/>
      <c r="K836" s="102"/>
      <c r="L836" s="102"/>
      <c r="M836" s="102"/>
    </row>
    <row r="837" spans="1:48" ht="12.75">
      <c r="A837" s="99" t="s">
        <v>291</v>
      </c>
      <c r="B837" s="99" t="s">
        <v>407</v>
      </c>
      <c r="C837" s="99" t="s">
        <v>686</v>
      </c>
      <c r="D837" s="99" t="s">
        <v>1464</v>
      </c>
      <c r="E837" s="99" t="s">
        <v>1639</v>
      </c>
      <c r="F837" s="100">
        <v>3.66</v>
      </c>
      <c r="G837" s="100">
        <v>0</v>
      </c>
      <c r="H837" s="100">
        <f>F837*AE837</f>
        <v>0</v>
      </c>
      <c r="I837" s="100">
        <f>J837-H837</f>
        <v>0</v>
      </c>
      <c r="J837" s="100">
        <f>F837*G837</f>
        <v>0</v>
      </c>
      <c r="K837" s="100">
        <v>0.02</v>
      </c>
      <c r="L837" s="100">
        <f>F837*K837</f>
        <v>0.0732</v>
      </c>
      <c r="M837" s="101" t="s">
        <v>1667</v>
      </c>
      <c r="P837" s="14">
        <f>IF(AG837="5",J837,0)</f>
        <v>0</v>
      </c>
      <c r="R837" s="14">
        <f>IF(AG837="1",H837,0)</f>
        <v>0</v>
      </c>
      <c r="S837" s="14">
        <f>IF(AG837="1",I837,0)</f>
        <v>0</v>
      </c>
      <c r="T837" s="14">
        <f>IF(AG837="7",H837,0)</f>
        <v>0</v>
      </c>
      <c r="U837" s="14">
        <f>IF(AG837="7",I837,0)</f>
        <v>0</v>
      </c>
      <c r="V837" s="14">
        <f>IF(AG837="2",H837,0)</f>
        <v>0</v>
      </c>
      <c r="W837" s="14">
        <f>IF(AG837="2",I837,0)</f>
        <v>0</v>
      </c>
      <c r="X837" s="14">
        <f>IF(AG837="0",J837,0)</f>
        <v>0</v>
      </c>
      <c r="Y837" s="8" t="s">
        <v>407</v>
      </c>
      <c r="Z837" s="5">
        <f>IF(AD837=0,J837,0)</f>
        <v>0</v>
      </c>
      <c r="AA837" s="5">
        <f>IF(AD837=15,J837,0)</f>
        <v>0</v>
      </c>
      <c r="AB837" s="5">
        <f>IF(AD837=21,J837,0)</f>
        <v>0</v>
      </c>
      <c r="AD837" s="14">
        <v>15</v>
      </c>
      <c r="AE837" s="14">
        <f>G837*0.109981167608286</f>
        <v>0</v>
      </c>
      <c r="AF837" s="14">
        <f>G837*(1-0.109981167608286)</f>
        <v>0</v>
      </c>
      <c r="AG837" s="10" t="s">
        <v>7</v>
      </c>
      <c r="AM837" s="14">
        <f>F837*AE837</f>
        <v>0</v>
      </c>
      <c r="AN837" s="14">
        <f>F837*AF837</f>
        <v>0</v>
      </c>
      <c r="AO837" s="15" t="s">
        <v>1692</v>
      </c>
      <c r="AP837" s="15" t="s">
        <v>1743</v>
      </c>
      <c r="AQ837" s="8" t="s">
        <v>1770</v>
      </c>
      <c r="AS837" s="14">
        <f>AM837+AN837</f>
        <v>0</v>
      </c>
      <c r="AT837" s="14">
        <f>G837/(100-AU837)*100</f>
        <v>0</v>
      </c>
      <c r="AU837" s="14">
        <v>0</v>
      </c>
      <c r="AV837" s="14">
        <f>L837</f>
        <v>0.0732</v>
      </c>
    </row>
    <row r="838" spans="1:48" ht="12.75">
      <c r="A838" s="99" t="s">
        <v>292</v>
      </c>
      <c r="B838" s="99" t="s">
        <v>407</v>
      </c>
      <c r="C838" s="99" t="s">
        <v>674</v>
      </c>
      <c r="D838" s="99" t="s">
        <v>1419</v>
      </c>
      <c r="E838" s="99" t="s">
        <v>1639</v>
      </c>
      <c r="F838" s="100">
        <v>3.66</v>
      </c>
      <c r="G838" s="100">
        <v>0</v>
      </c>
      <c r="H838" s="100">
        <f>F838*AE838</f>
        <v>0</v>
      </c>
      <c r="I838" s="100">
        <f>J838-H838</f>
        <v>0</v>
      </c>
      <c r="J838" s="100">
        <f>F838*G838</f>
        <v>0</v>
      </c>
      <c r="K838" s="100">
        <v>0</v>
      </c>
      <c r="L838" s="100">
        <f>F838*K838</f>
        <v>0</v>
      </c>
      <c r="M838" s="101" t="s">
        <v>1667</v>
      </c>
      <c r="P838" s="14">
        <f>IF(AG838="5",J838,0)</f>
        <v>0</v>
      </c>
      <c r="R838" s="14">
        <f>IF(AG838="1",H838,0)</f>
        <v>0</v>
      </c>
      <c r="S838" s="14">
        <f>IF(AG838="1",I838,0)</f>
        <v>0</v>
      </c>
      <c r="T838" s="14">
        <f>IF(AG838="7",H838,0)</f>
        <v>0</v>
      </c>
      <c r="U838" s="14">
        <f>IF(AG838="7",I838,0)</f>
        <v>0</v>
      </c>
      <c r="V838" s="14">
        <f>IF(AG838="2",H838,0)</f>
        <v>0</v>
      </c>
      <c r="W838" s="14">
        <f>IF(AG838="2",I838,0)</f>
        <v>0</v>
      </c>
      <c r="X838" s="14">
        <f>IF(AG838="0",J838,0)</f>
        <v>0</v>
      </c>
      <c r="Y838" s="8" t="s">
        <v>407</v>
      </c>
      <c r="Z838" s="5">
        <f>IF(AD838=0,J838,0)</f>
        <v>0</v>
      </c>
      <c r="AA838" s="5">
        <f>IF(AD838=15,J838,0)</f>
        <v>0</v>
      </c>
      <c r="AB838" s="5">
        <f>IF(AD838=21,J838,0)</f>
        <v>0</v>
      </c>
      <c r="AD838" s="14">
        <v>15</v>
      </c>
      <c r="AE838" s="14">
        <f>G838*0</f>
        <v>0</v>
      </c>
      <c r="AF838" s="14">
        <f>G838*(1-0)</f>
        <v>0</v>
      </c>
      <c r="AG838" s="10" t="s">
        <v>7</v>
      </c>
      <c r="AM838" s="14">
        <f>F838*AE838</f>
        <v>0</v>
      </c>
      <c r="AN838" s="14">
        <f>F838*AF838</f>
        <v>0</v>
      </c>
      <c r="AO838" s="15" t="s">
        <v>1692</v>
      </c>
      <c r="AP838" s="15" t="s">
        <v>1743</v>
      </c>
      <c r="AQ838" s="8" t="s">
        <v>1770</v>
      </c>
      <c r="AS838" s="14">
        <f>AM838+AN838</f>
        <v>0</v>
      </c>
      <c r="AT838" s="14">
        <f>G838/(100-AU838)*100</f>
        <v>0</v>
      </c>
      <c r="AU838" s="14">
        <v>0</v>
      </c>
      <c r="AV838" s="14">
        <f>L838</f>
        <v>0</v>
      </c>
    </row>
    <row r="839" spans="1:48" ht="12.75">
      <c r="A839" s="99" t="s">
        <v>293</v>
      </c>
      <c r="B839" s="99" t="s">
        <v>407</v>
      </c>
      <c r="C839" s="99" t="s">
        <v>484</v>
      </c>
      <c r="D839" s="99" t="s">
        <v>1465</v>
      </c>
      <c r="E839" s="99" t="s">
        <v>1639</v>
      </c>
      <c r="F839" s="100">
        <v>1.8</v>
      </c>
      <c r="G839" s="100">
        <v>0</v>
      </c>
      <c r="H839" s="100">
        <f>F839*AE839</f>
        <v>0</v>
      </c>
      <c r="I839" s="100">
        <f>J839-H839</f>
        <v>0</v>
      </c>
      <c r="J839" s="100">
        <f>F839*G839</f>
        <v>0</v>
      </c>
      <c r="K839" s="100">
        <v>1.837</v>
      </c>
      <c r="L839" s="100">
        <f>F839*K839</f>
        <v>3.3066</v>
      </c>
      <c r="M839" s="101" t="s">
        <v>1667</v>
      </c>
      <c r="P839" s="14">
        <f>IF(AG839="5",J839,0)</f>
        <v>0</v>
      </c>
      <c r="R839" s="14">
        <f>IF(AG839="1",H839,0)</f>
        <v>0</v>
      </c>
      <c r="S839" s="14">
        <f>IF(AG839="1",I839,0)</f>
        <v>0</v>
      </c>
      <c r="T839" s="14">
        <f>IF(AG839="7",H839,0)</f>
        <v>0</v>
      </c>
      <c r="U839" s="14">
        <f>IF(AG839="7",I839,0)</f>
        <v>0</v>
      </c>
      <c r="V839" s="14">
        <f>IF(AG839="2",H839,0)</f>
        <v>0</v>
      </c>
      <c r="W839" s="14">
        <f>IF(AG839="2",I839,0)</f>
        <v>0</v>
      </c>
      <c r="X839" s="14">
        <f>IF(AG839="0",J839,0)</f>
        <v>0</v>
      </c>
      <c r="Y839" s="8" t="s">
        <v>407</v>
      </c>
      <c r="Z839" s="5">
        <f>IF(AD839=0,J839,0)</f>
        <v>0</v>
      </c>
      <c r="AA839" s="5">
        <f>IF(AD839=15,J839,0)</f>
        <v>0</v>
      </c>
      <c r="AB839" s="5">
        <f>IF(AD839=21,J839,0)</f>
        <v>0</v>
      </c>
      <c r="AD839" s="14">
        <v>15</v>
      </c>
      <c r="AE839" s="14">
        <f>G839*0.504477186311787</f>
        <v>0</v>
      </c>
      <c r="AF839" s="14">
        <f>G839*(1-0.504477186311787)</f>
        <v>0</v>
      </c>
      <c r="AG839" s="10" t="s">
        <v>7</v>
      </c>
      <c r="AM839" s="14">
        <f>F839*AE839</f>
        <v>0</v>
      </c>
      <c r="AN839" s="14">
        <f>F839*AF839</f>
        <v>0</v>
      </c>
      <c r="AO839" s="15" t="s">
        <v>1692</v>
      </c>
      <c r="AP839" s="15" t="s">
        <v>1743</v>
      </c>
      <c r="AQ839" s="8" t="s">
        <v>1770</v>
      </c>
      <c r="AS839" s="14">
        <f>AM839+AN839</f>
        <v>0</v>
      </c>
      <c r="AT839" s="14">
        <f>G839/(100-AU839)*100</f>
        <v>0</v>
      </c>
      <c r="AU839" s="14">
        <v>0</v>
      </c>
      <c r="AV839" s="14">
        <f>L839</f>
        <v>3.3066</v>
      </c>
    </row>
    <row r="840" spans="1:13" ht="12.75">
      <c r="A840" s="102"/>
      <c r="B840" s="102"/>
      <c r="C840" s="102"/>
      <c r="D840" s="103" t="s">
        <v>1466</v>
      </c>
      <c r="E840" s="102"/>
      <c r="F840" s="104">
        <v>1.8</v>
      </c>
      <c r="G840" s="102"/>
      <c r="H840" s="102"/>
      <c r="I840" s="102"/>
      <c r="J840" s="102"/>
      <c r="K840" s="102"/>
      <c r="L840" s="102"/>
      <c r="M840" s="102"/>
    </row>
    <row r="841" spans="1:48" ht="12.75">
      <c r="A841" s="105" t="s">
        <v>294</v>
      </c>
      <c r="B841" s="105" t="s">
        <v>407</v>
      </c>
      <c r="C841" s="105" t="s">
        <v>485</v>
      </c>
      <c r="D841" s="105" t="s">
        <v>1031</v>
      </c>
      <c r="E841" s="105" t="s">
        <v>1642</v>
      </c>
      <c r="F841" s="106">
        <v>3.29</v>
      </c>
      <c r="G841" s="106">
        <v>0</v>
      </c>
      <c r="H841" s="106">
        <f>F841*AE841</f>
        <v>0</v>
      </c>
      <c r="I841" s="106">
        <f>J841-H841</f>
        <v>0</v>
      </c>
      <c r="J841" s="106">
        <f>F841*G841</f>
        <v>0</v>
      </c>
      <c r="K841" s="106">
        <v>1</v>
      </c>
      <c r="L841" s="106">
        <f>F841*K841</f>
        <v>3.29</v>
      </c>
      <c r="M841" s="107" t="s">
        <v>1669</v>
      </c>
      <c r="P841" s="14">
        <f>IF(AG841="5",J841,0)</f>
        <v>0</v>
      </c>
      <c r="R841" s="14">
        <f>IF(AG841="1",H841,0)</f>
        <v>0</v>
      </c>
      <c r="S841" s="14">
        <f>IF(AG841="1",I841,0)</f>
        <v>0</v>
      </c>
      <c r="T841" s="14">
        <f>IF(AG841="7",H841,0)</f>
        <v>0</v>
      </c>
      <c r="U841" s="14">
        <f>IF(AG841="7",I841,0)</f>
        <v>0</v>
      </c>
      <c r="V841" s="14">
        <f>IF(AG841="2",H841,0)</f>
        <v>0</v>
      </c>
      <c r="W841" s="14">
        <f>IF(AG841="2",I841,0)</f>
        <v>0</v>
      </c>
      <c r="X841" s="14">
        <f>IF(AG841="0",J841,0)</f>
        <v>0</v>
      </c>
      <c r="Y841" s="8" t="s">
        <v>407</v>
      </c>
      <c r="Z841" s="6">
        <f>IF(AD841=0,J841,0)</f>
        <v>0</v>
      </c>
      <c r="AA841" s="6">
        <f>IF(AD841=15,J841,0)</f>
        <v>0</v>
      </c>
      <c r="AB841" s="6">
        <f>IF(AD841=21,J841,0)</f>
        <v>0</v>
      </c>
      <c r="AD841" s="14">
        <v>15</v>
      </c>
      <c r="AE841" s="14">
        <f>G841*1</f>
        <v>0</v>
      </c>
      <c r="AF841" s="14">
        <f>G841*(1-1)</f>
        <v>0</v>
      </c>
      <c r="AG841" s="11" t="s">
        <v>7</v>
      </c>
      <c r="AM841" s="14">
        <f>F841*AE841</f>
        <v>0</v>
      </c>
      <c r="AN841" s="14">
        <f>F841*AF841</f>
        <v>0</v>
      </c>
      <c r="AO841" s="15" t="s">
        <v>1692</v>
      </c>
      <c r="AP841" s="15" t="s">
        <v>1743</v>
      </c>
      <c r="AQ841" s="8" t="s">
        <v>1770</v>
      </c>
      <c r="AS841" s="14">
        <f>AM841+AN841</f>
        <v>0</v>
      </c>
      <c r="AT841" s="14">
        <f>G841/(100-AU841)*100</f>
        <v>0</v>
      </c>
      <c r="AU841" s="14">
        <v>0</v>
      </c>
      <c r="AV841" s="14">
        <f>L841</f>
        <v>3.29</v>
      </c>
    </row>
    <row r="842" spans="1:13" ht="12.75">
      <c r="A842" s="102"/>
      <c r="B842" s="102"/>
      <c r="C842" s="102"/>
      <c r="D842" s="103" t="s">
        <v>1467</v>
      </c>
      <c r="E842" s="102"/>
      <c r="F842" s="104">
        <v>3.29</v>
      </c>
      <c r="G842" s="102"/>
      <c r="H842" s="102"/>
      <c r="I842" s="102"/>
      <c r="J842" s="102"/>
      <c r="K842" s="102"/>
      <c r="L842" s="102"/>
      <c r="M842" s="102"/>
    </row>
    <row r="843" spans="1:37" ht="12.75">
      <c r="A843" s="93"/>
      <c r="B843" s="94" t="s">
        <v>407</v>
      </c>
      <c r="C843" s="94" t="s">
        <v>70</v>
      </c>
      <c r="D843" s="95" t="s">
        <v>1033</v>
      </c>
      <c r="E843" s="96"/>
      <c r="F843" s="96"/>
      <c r="G843" s="96"/>
      <c r="H843" s="97">
        <f>SUM(H844:H844)</f>
        <v>0</v>
      </c>
      <c r="I843" s="97">
        <f>SUM(I844:I844)</f>
        <v>0</v>
      </c>
      <c r="J843" s="97">
        <f>H843+I843</f>
        <v>0</v>
      </c>
      <c r="K843" s="98"/>
      <c r="L843" s="97">
        <f>SUM(L844:L844)</f>
        <v>0.006315</v>
      </c>
      <c r="M843" s="98"/>
      <c r="Y843" s="8" t="s">
        <v>407</v>
      </c>
      <c r="AI843" s="16">
        <f>SUM(Z844:Z844)</f>
        <v>0</v>
      </c>
      <c r="AJ843" s="16">
        <f>SUM(AA844:AA844)</f>
        <v>0</v>
      </c>
      <c r="AK843" s="16">
        <f>SUM(AB844:AB844)</f>
        <v>0</v>
      </c>
    </row>
    <row r="844" spans="1:48" ht="12.75">
      <c r="A844" s="99" t="s">
        <v>295</v>
      </c>
      <c r="B844" s="99" t="s">
        <v>407</v>
      </c>
      <c r="C844" s="99" t="s">
        <v>687</v>
      </c>
      <c r="D844" s="99" t="s">
        <v>1034</v>
      </c>
      <c r="E844" s="99" t="s">
        <v>1643</v>
      </c>
      <c r="F844" s="100">
        <v>1.5</v>
      </c>
      <c r="G844" s="100">
        <v>0</v>
      </c>
      <c r="H844" s="100">
        <f>F844*AE844</f>
        <v>0</v>
      </c>
      <c r="I844" s="100">
        <f>J844-H844</f>
        <v>0</v>
      </c>
      <c r="J844" s="100">
        <f>F844*G844</f>
        <v>0</v>
      </c>
      <c r="K844" s="100">
        <v>0.00421</v>
      </c>
      <c r="L844" s="100">
        <f>F844*K844</f>
        <v>0.006315</v>
      </c>
      <c r="M844" s="101" t="s">
        <v>1667</v>
      </c>
      <c r="P844" s="14">
        <f>IF(AG844="5",J844,0)</f>
        <v>0</v>
      </c>
      <c r="R844" s="14">
        <f>IF(AG844="1",H844,0)</f>
        <v>0</v>
      </c>
      <c r="S844" s="14">
        <f>IF(AG844="1",I844,0)</f>
        <v>0</v>
      </c>
      <c r="T844" s="14">
        <f>IF(AG844="7",H844,0)</f>
        <v>0</v>
      </c>
      <c r="U844" s="14">
        <f>IF(AG844="7",I844,0)</f>
        <v>0</v>
      </c>
      <c r="V844" s="14">
        <f>IF(AG844="2",H844,0)</f>
        <v>0</v>
      </c>
      <c r="W844" s="14">
        <f>IF(AG844="2",I844,0)</f>
        <v>0</v>
      </c>
      <c r="X844" s="14">
        <f>IF(AG844="0",J844,0)</f>
        <v>0</v>
      </c>
      <c r="Y844" s="8" t="s">
        <v>407</v>
      </c>
      <c r="Z844" s="5">
        <f>IF(AD844=0,J844,0)</f>
        <v>0</v>
      </c>
      <c r="AA844" s="5">
        <f>IF(AD844=15,J844,0)</f>
        <v>0</v>
      </c>
      <c r="AB844" s="5">
        <f>IF(AD844=21,J844,0)</f>
        <v>0</v>
      </c>
      <c r="AD844" s="14">
        <v>15</v>
      </c>
      <c r="AE844" s="14">
        <f>G844*0.522144249512671</f>
        <v>0</v>
      </c>
      <c r="AF844" s="14">
        <f>G844*(1-0.522144249512671)</f>
        <v>0</v>
      </c>
      <c r="AG844" s="10" t="s">
        <v>7</v>
      </c>
      <c r="AM844" s="14">
        <f>F844*AE844</f>
        <v>0</v>
      </c>
      <c r="AN844" s="14">
        <f>F844*AF844</f>
        <v>0</v>
      </c>
      <c r="AO844" s="15" t="s">
        <v>1693</v>
      </c>
      <c r="AP844" s="15" t="s">
        <v>1743</v>
      </c>
      <c r="AQ844" s="8" t="s">
        <v>1770</v>
      </c>
      <c r="AS844" s="14">
        <f>AM844+AN844</f>
        <v>0</v>
      </c>
      <c r="AT844" s="14">
        <f>G844/(100-AU844)*100</f>
        <v>0</v>
      </c>
      <c r="AU844" s="14">
        <v>0</v>
      </c>
      <c r="AV844" s="14">
        <f>L844</f>
        <v>0.006315</v>
      </c>
    </row>
    <row r="845" spans="1:37" ht="12.75">
      <c r="A845" s="93"/>
      <c r="B845" s="94" t="s">
        <v>407</v>
      </c>
      <c r="C845" s="94" t="s">
        <v>493</v>
      </c>
      <c r="D845" s="95" t="s">
        <v>1047</v>
      </c>
      <c r="E845" s="96"/>
      <c r="F845" s="96"/>
      <c r="G845" s="96"/>
      <c r="H845" s="97">
        <f>SUM(H846:H853)</f>
        <v>0</v>
      </c>
      <c r="I845" s="97">
        <f>SUM(I846:I853)</f>
        <v>0</v>
      </c>
      <c r="J845" s="97">
        <f>H845+I845</f>
        <v>0</v>
      </c>
      <c r="K845" s="98"/>
      <c r="L845" s="97">
        <f>SUM(L846:L853)</f>
        <v>0.4540425</v>
      </c>
      <c r="M845" s="98"/>
      <c r="Y845" s="8" t="s">
        <v>407</v>
      </c>
      <c r="AI845" s="16">
        <f>SUM(Z846:Z853)</f>
        <v>0</v>
      </c>
      <c r="AJ845" s="16">
        <f>SUM(AA846:AA853)</f>
        <v>0</v>
      </c>
      <c r="AK845" s="16">
        <f>SUM(AB846:AB853)</f>
        <v>0</v>
      </c>
    </row>
    <row r="846" spans="1:48" ht="12.75">
      <c r="A846" s="99" t="s">
        <v>296</v>
      </c>
      <c r="B846" s="99" t="s">
        <v>407</v>
      </c>
      <c r="C846" s="99" t="s">
        <v>494</v>
      </c>
      <c r="D846" s="99" t="s">
        <v>1048</v>
      </c>
      <c r="E846" s="99" t="s">
        <v>1640</v>
      </c>
      <c r="F846" s="100">
        <v>40.25</v>
      </c>
      <c r="G846" s="100">
        <v>0</v>
      </c>
      <c r="H846" s="100">
        <f>F846*AE846</f>
        <v>0</v>
      </c>
      <c r="I846" s="100">
        <f>J846-H846</f>
        <v>0</v>
      </c>
      <c r="J846" s="100">
        <f>F846*G846</f>
        <v>0</v>
      </c>
      <c r="K846" s="100">
        <v>0.00033</v>
      </c>
      <c r="L846" s="100">
        <f>F846*K846</f>
        <v>0.0132825</v>
      </c>
      <c r="M846" s="101" t="s">
        <v>1667</v>
      </c>
      <c r="P846" s="14">
        <f>IF(AG846="5",J846,0)</f>
        <v>0</v>
      </c>
      <c r="R846" s="14">
        <f>IF(AG846="1",H846,0)</f>
        <v>0</v>
      </c>
      <c r="S846" s="14">
        <f>IF(AG846="1",I846,0)</f>
        <v>0</v>
      </c>
      <c r="T846" s="14">
        <f>IF(AG846="7",H846,0)</f>
        <v>0</v>
      </c>
      <c r="U846" s="14">
        <f>IF(AG846="7",I846,0)</f>
        <v>0</v>
      </c>
      <c r="V846" s="14">
        <f>IF(AG846="2",H846,0)</f>
        <v>0</v>
      </c>
      <c r="W846" s="14">
        <f>IF(AG846="2",I846,0)</f>
        <v>0</v>
      </c>
      <c r="X846" s="14">
        <f>IF(AG846="0",J846,0)</f>
        <v>0</v>
      </c>
      <c r="Y846" s="8" t="s">
        <v>407</v>
      </c>
      <c r="Z846" s="5">
        <f>IF(AD846=0,J846,0)</f>
        <v>0</v>
      </c>
      <c r="AA846" s="5">
        <f>IF(AD846=15,J846,0)</f>
        <v>0</v>
      </c>
      <c r="AB846" s="5">
        <f>IF(AD846=21,J846,0)</f>
        <v>0</v>
      </c>
      <c r="AD846" s="14">
        <v>15</v>
      </c>
      <c r="AE846" s="14">
        <f>G846*0.633596837944664</f>
        <v>0</v>
      </c>
      <c r="AF846" s="14">
        <f>G846*(1-0.633596837944664)</f>
        <v>0</v>
      </c>
      <c r="AG846" s="10" t="s">
        <v>13</v>
      </c>
      <c r="AM846" s="14">
        <f>F846*AE846</f>
        <v>0</v>
      </c>
      <c r="AN846" s="14">
        <f>F846*AF846</f>
        <v>0</v>
      </c>
      <c r="AO846" s="15" t="s">
        <v>1694</v>
      </c>
      <c r="AP846" s="15" t="s">
        <v>1744</v>
      </c>
      <c r="AQ846" s="8" t="s">
        <v>1770</v>
      </c>
      <c r="AS846" s="14">
        <f>AM846+AN846</f>
        <v>0</v>
      </c>
      <c r="AT846" s="14">
        <f>G846/(100-AU846)*100</f>
        <v>0</v>
      </c>
      <c r="AU846" s="14">
        <v>0</v>
      </c>
      <c r="AV846" s="14">
        <f>L846</f>
        <v>0.0132825</v>
      </c>
    </row>
    <row r="847" spans="1:13" ht="12.75">
      <c r="A847" s="102"/>
      <c r="B847" s="102"/>
      <c r="C847" s="102"/>
      <c r="D847" s="103" t="s">
        <v>1468</v>
      </c>
      <c r="E847" s="102"/>
      <c r="F847" s="104">
        <v>40.25</v>
      </c>
      <c r="G847" s="102"/>
      <c r="H847" s="102"/>
      <c r="I847" s="102"/>
      <c r="J847" s="102"/>
      <c r="K847" s="102"/>
      <c r="L847" s="102"/>
      <c r="M847" s="102"/>
    </row>
    <row r="848" spans="1:48" ht="12.75">
      <c r="A848" s="99" t="s">
        <v>297</v>
      </c>
      <c r="B848" s="99" t="s">
        <v>407</v>
      </c>
      <c r="C848" s="99" t="s">
        <v>495</v>
      </c>
      <c r="D848" s="99" t="s">
        <v>1050</v>
      </c>
      <c r="E848" s="99" t="s">
        <v>1640</v>
      </c>
      <c r="F848" s="100">
        <v>40.25</v>
      </c>
      <c r="G848" s="100">
        <v>0</v>
      </c>
      <c r="H848" s="100">
        <f>F848*AE848</f>
        <v>0</v>
      </c>
      <c r="I848" s="100">
        <f>J848-H848</f>
        <v>0</v>
      </c>
      <c r="J848" s="100">
        <f>F848*G848</f>
        <v>0</v>
      </c>
      <c r="K848" s="100">
        <v>0.00559</v>
      </c>
      <c r="L848" s="100">
        <f>F848*K848</f>
        <v>0.22499750000000002</v>
      </c>
      <c r="M848" s="101" t="s">
        <v>1667</v>
      </c>
      <c r="P848" s="14">
        <f>IF(AG848="5",J848,0)</f>
        <v>0</v>
      </c>
      <c r="R848" s="14">
        <f>IF(AG848="1",H848,0)</f>
        <v>0</v>
      </c>
      <c r="S848" s="14">
        <f>IF(AG848="1",I848,0)</f>
        <v>0</v>
      </c>
      <c r="T848" s="14">
        <f>IF(AG848="7",H848,0)</f>
        <v>0</v>
      </c>
      <c r="U848" s="14">
        <f>IF(AG848="7",I848,0)</f>
        <v>0</v>
      </c>
      <c r="V848" s="14">
        <f>IF(AG848="2",H848,0)</f>
        <v>0</v>
      </c>
      <c r="W848" s="14">
        <f>IF(AG848="2",I848,0)</f>
        <v>0</v>
      </c>
      <c r="X848" s="14">
        <f>IF(AG848="0",J848,0)</f>
        <v>0</v>
      </c>
      <c r="Y848" s="8" t="s">
        <v>407</v>
      </c>
      <c r="Z848" s="5">
        <f>IF(AD848=0,J848,0)</f>
        <v>0</v>
      </c>
      <c r="AA848" s="5">
        <f>IF(AD848=15,J848,0)</f>
        <v>0</v>
      </c>
      <c r="AB848" s="5">
        <f>IF(AD848=21,J848,0)</f>
        <v>0</v>
      </c>
      <c r="AD848" s="14">
        <v>15</v>
      </c>
      <c r="AE848" s="14">
        <f>G848*0.702346153846154</f>
        <v>0</v>
      </c>
      <c r="AF848" s="14">
        <f>G848*(1-0.702346153846154)</f>
        <v>0</v>
      </c>
      <c r="AG848" s="10" t="s">
        <v>13</v>
      </c>
      <c r="AM848" s="14">
        <f>F848*AE848</f>
        <v>0</v>
      </c>
      <c r="AN848" s="14">
        <f>F848*AF848</f>
        <v>0</v>
      </c>
      <c r="AO848" s="15" t="s">
        <v>1694</v>
      </c>
      <c r="AP848" s="15" t="s">
        <v>1744</v>
      </c>
      <c r="AQ848" s="8" t="s">
        <v>1770</v>
      </c>
      <c r="AS848" s="14">
        <f>AM848+AN848</f>
        <v>0</v>
      </c>
      <c r="AT848" s="14">
        <f>G848/(100-AU848)*100</f>
        <v>0</v>
      </c>
      <c r="AU848" s="14">
        <v>0</v>
      </c>
      <c r="AV848" s="14">
        <f>L848</f>
        <v>0.22499750000000002</v>
      </c>
    </row>
    <row r="849" spans="1:13" ht="12.75">
      <c r="A849" s="102"/>
      <c r="B849" s="102"/>
      <c r="C849" s="102"/>
      <c r="D849" s="103" t="s">
        <v>1469</v>
      </c>
      <c r="E849" s="102"/>
      <c r="F849" s="104">
        <v>40.25</v>
      </c>
      <c r="G849" s="102"/>
      <c r="H849" s="102"/>
      <c r="I849" s="102"/>
      <c r="J849" s="102"/>
      <c r="K849" s="102"/>
      <c r="L849" s="102"/>
      <c r="M849" s="102"/>
    </row>
    <row r="850" spans="1:48" ht="12.75">
      <c r="A850" s="99" t="s">
        <v>298</v>
      </c>
      <c r="B850" s="99" t="s">
        <v>407</v>
      </c>
      <c r="C850" s="99" t="s">
        <v>496</v>
      </c>
      <c r="D850" s="99" t="s">
        <v>1050</v>
      </c>
      <c r="E850" s="99" t="s">
        <v>1640</v>
      </c>
      <c r="F850" s="100">
        <v>40.25</v>
      </c>
      <c r="G850" s="100">
        <v>0</v>
      </c>
      <c r="H850" s="100">
        <f>F850*AE850</f>
        <v>0</v>
      </c>
      <c r="I850" s="100">
        <f>J850-H850</f>
        <v>0</v>
      </c>
      <c r="J850" s="100">
        <f>F850*G850</f>
        <v>0</v>
      </c>
      <c r="K850" s="100">
        <v>0.00041</v>
      </c>
      <c r="L850" s="100">
        <f>F850*K850</f>
        <v>0.0165025</v>
      </c>
      <c r="M850" s="101" t="s">
        <v>1667</v>
      </c>
      <c r="P850" s="14">
        <f>IF(AG850="5",J850,0)</f>
        <v>0</v>
      </c>
      <c r="R850" s="14">
        <f>IF(AG850="1",H850,0)</f>
        <v>0</v>
      </c>
      <c r="S850" s="14">
        <f>IF(AG850="1",I850,0)</f>
        <v>0</v>
      </c>
      <c r="T850" s="14">
        <f>IF(AG850="7",H850,0)</f>
        <v>0</v>
      </c>
      <c r="U850" s="14">
        <f>IF(AG850="7",I850,0)</f>
        <v>0</v>
      </c>
      <c r="V850" s="14">
        <f>IF(AG850="2",H850,0)</f>
        <v>0</v>
      </c>
      <c r="W850" s="14">
        <f>IF(AG850="2",I850,0)</f>
        <v>0</v>
      </c>
      <c r="X850" s="14">
        <f>IF(AG850="0",J850,0)</f>
        <v>0</v>
      </c>
      <c r="Y850" s="8" t="s">
        <v>407</v>
      </c>
      <c r="Z850" s="5">
        <f>IF(AD850=0,J850,0)</f>
        <v>0</v>
      </c>
      <c r="AA850" s="5">
        <f>IF(AD850=15,J850,0)</f>
        <v>0</v>
      </c>
      <c r="AB850" s="5">
        <f>IF(AD850=21,J850,0)</f>
        <v>0</v>
      </c>
      <c r="AD850" s="14">
        <v>15</v>
      </c>
      <c r="AE850" s="14">
        <f>G850*0.093559718969555</f>
        <v>0</v>
      </c>
      <c r="AF850" s="14">
        <f>G850*(1-0.093559718969555)</f>
        <v>0</v>
      </c>
      <c r="AG850" s="10" t="s">
        <v>13</v>
      </c>
      <c r="AM850" s="14">
        <f>F850*AE850</f>
        <v>0</v>
      </c>
      <c r="AN850" s="14">
        <f>F850*AF850</f>
        <v>0</v>
      </c>
      <c r="AO850" s="15" t="s">
        <v>1694</v>
      </c>
      <c r="AP850" s="15" t="s">
        <v>1744</v>
      </c>
      <c r="AQ850" s="8" t="s">
        <v>1770</v>
      </c>
      <c r="AS850" s="14">
        <f>AM850+AN850</f>
        <v>0</v>
      </c>
      <c r="AT850" s="14">
        <f>G850/(100-AU850)*100</f>
        <v>0</v>
      </c>
      <c r="AU850" s="14">
        <v>0</v>
      </c>
      <c r="AV850" s="14">
        <f>L850</f>
        <v>0.0165025</v>
      </c>
    </row>
    <row r="851" spans="1:48" ht="12.75">
      <c r="A851" s="105" t="s">
        <v>299</v>
      </c>
      <c r="B851" s="105" t="s">
        <v>407</v>
      </c>
      <c r="C851" s="105" t="s">
        <v>497</v>
      </c>
      <c r="D851" s="105" t="s">
        <v>1052</v>
      </c>
      <c r="E851" s="105" t="s">
        <v>1640</v>
      </c>
      <c r="F851" s="106">
        <v>44.28</v>
      </c>
      <c r="G851" s="106">
        <v>0</v>
      </c>
      <c r="H851" s="106">
        <f>F851*AE851</f>
        <v>0</v>
      </c>
      <c r="I851" s="106">
        <f>J851-H851</f>
        <v>0</v>
      </c>
      <c r="J851" s="106">
        <f>F851*G851</f>
        <v>0</v>
      </c>
      <c r="K851" s="106">
        <v>0.0045</v>
      </c>
      <c r="L851" s="106">
        <f>F851*K851</f>
        <v>0.19926</v>
      </c>
      <c r="M851" s="107" t="s">
        <v>1667</v>
      </c>
      <c r="P851" s="14">
        <f>IF(AG851="5",J851,0)</f>
        <v>0</v>
      </c>
      <c r="R851" s="14">
        <f>IF(AG851="1",H851,0)</f>
        <v>0</v>
      </c>
      <c r="S851" s="14">
        <f>IF(AG851="1",I851,0)</f>
        <v>0</v>
      </c>
      <c r="T851" s="14">
        <f>IF(AG851="7",H851,0)</f>
        <v>0</v>
      </c>
      <c r="U851" s="14">
        <f>IF(AG851="7",I851,0)</f>
        <v>0</v>
      </c>
      <c r="V851" s="14">
        <f>IF(AG851="2",H851,0)</f>
        <v>0</v>
      </c>
      <c r="W851" s="14">
        <f>IF(AG851="2",I851,0)</f>
        <v>0</v>
      </c>
      <c r="X851" s="14">
        <f>IF(AG851="0",J851,0)</f>
        <v>0</v>
      </c>
      <c r="Y851" s="8" t="s">
        <v>407</v>
      </c>
      <c r="Z851" s="6">
        <f>IF(AD851=0,J851,0)</f>
        <v>0</v>
      </c>
      <c r="AA851" s="6">
        <f>IF(AD851=15,J851,0)</f>
        <v>0</v>
      </c>
      <c r="AB851" s="6">
        <f>IF(AD851=21,J851,0)</f>
        <v>0</v>
      </c>
      <c r="AD851" s="14">
        <v>15</v>
      </c>
      <c r="AE851" s="14">
        <f>G851*1</f>
        <v>0</v>
      </c>
      <c r="AF851" s="14">
        <f>G851*(1-1)</f>
        <v>0</v>
      </c>
      <c r="AG851" s="11" t="s">
        <v>13</v>
      </c>
      <c r="AM851" s="14">
        <f>F851*AE851</f>
        <v>0</v>
      </c>
      <c r="AN851" s="14">
        <f>F851*AF851</f>
        <v>0</v>
      </c>
      <c r="AO851" s="15" t="s">
        <v>1694</v>
      </c>
      <c r="AP851" s="15" t="s">
        <v>1744</v>
      </c>
      <c r="AQ851" s="8" t="s">
        <v>1770</v>
      </c>
      <c r="AS851" s="14">
        <f>AM851+AN851</f>
        <v>0</v>
      </c>
      <c r="AT851" s="14">
        <f>G851/(100-AU851)*100</f>
        <v>0</v>
      </c>
      <c r="AU851" s="14">
        <v>0</v>
      </c>
      <c r="AV851" s="14">
        <f>L851</f>
        <v>0.19926</v>
      </c>
    </row>
    <row r="852" spans="1:13" ht="12.75">
      <c r="A852" s="102"/>
      <c r="B852" s="102"/>
      <c r="C852" s="102"/>
      <c r="D852" s="103" t="s">
        <v>1470</v>
      </c>
      <c r="E852" s="102"/>
      <c r="F852" s="104">
        <v>44.28</v>
      </c>
      <c r="G852" s="102"/>
      <c r="H852" s="102"/>
      <c r="I852" s="102"/>
      <c r="J852" s="102"/>
      <c r="K852" s="102"/>
      <c r="L852" s="102"/>
      <c r="M852" s="102"/>
    </row>
    <row r="853" spans="1:48" ht="12.75">
      <c r="A853" s="99" t="s">
        <v>300</v>
      </c>
      <c r="B853" s="99" t="s">
        <v>407</v>
      </c>
      <c r="C853" s="99" t="s">
        <v>688</v>
      </c>
      <c r="D853" s="99" t="s">
        <v>1471</v>
      </c>
      <c r="E853" s="99" t="s">
        <v>1642</v>
      </c>
      <c r="F853" s="100">
        <v>0.45</v>
      </c>
      <c r="G853" s="100">
        <v>0</v>
      </c>
      <c r="H853" s="100">
        <f>F853*AE853</f>
        <v>0</v>
      </c>
      <c r="I853" s="100">
        <f>J853-H853</f>
        <v>0</v>
      </c>
      <c r="J853" s="100">
        <f>F853*G853</f>
        <v>0</v>
      </c>
      <c r="K853" s="100">
        <v>0</v>
      </c>
      <c r="L853" s="100">
        <f>F853*K853</f>
        <v>0</v>
      </c>
      <c r="M853" s="101" t="s">
        <v>1667</v>
      </c>
      <c r="P853" s="14">
        <f>IF(AG853="5",J853,0)</f>
        <v>0</v>
      </c>
      <c r="R853" s="14">
        <f>IF(AG853="1",H853,0)</f>
        <v>0</v>
      </c>
      <c r="S853" s="14">
        <f>IF(AG853="1",I853,0)</f>
        <v>0</v>
      </c>
      <c r="T853" s="14">
        <f>IF(AG853="7",H853,0)</f>
        <v>0</v>
      </c>
      <c r="U853" s="14">
        <f>IF(AG853="7",I853,0)</f>
        <v>0</v>
      </c>
      <c r="V853" s="14">
        <f>IF(AG853="2",H853,0)</f>
        <v>0</v>
      </c>
      <c r="W853" s="14">
        <f>IF(AG853="2",I853,0)</f>
        <v>0</v>
      </c>
      <c r="X853" s="14">
        <f>IF(AG853="0",J853,0)</f>
        <v>0</v>
      </c>
      <c r="Y853" s="8" t="s">
        <v>407</v>
      </c>
      <c r="Z853" s="5">
        <f>IF(AD853=0,J853,0)</f>
        <v>0</v>
      </c>
      <c r="AA853" s="5">
        <f>IF(AD853=15,J853,0)</f>
        <v>0</v>
      </c>
      <c r="AB853" s="5">
        <f>IF(AD853=21,J853,0)</f>
        <v>0</v>
      </c>
      <c r="AD853" s="14">
        <v>15</v>
      </c>
      <c r="AE853" s="14">
        <f>G853*0</f>
        <v>0</v>
      </c>
      <c r="AF853" s="14">
        <f>G853*(1-0)</f>
        <v>0</v>
      </c>
      <c r="AG853" s="10" t="s">
        <v>11</v>
      </c>
      <c r="AM853" s="14">
        <f>F853*AE853</f>
        <v>0</v>
      </c>
      <c r="AN853" s="14">
        <f>F853*AF853</f>
        <v>0</v>
      </c>
      <c r="AO853" s="15" t="s">
        <v>1694</v>
      </c>
      <c r="AP853" s="15" t="s">
        <v>1744</v>
      </c>
      <c r="AQ853" s="8" t="s">
        <v>1770</v>
      </c>
      <c r="AS853" s="14">
        <f>AM853+AN853</f>
        <v>0</v>
      </c>
      <c r="AT853" s="14">
        <f>G853/(100-AU853)*100</f>
        <v>0</v>
      </c>
      <c r="AU853" s="14">
        <v>0</v>
      </c>
      <c r="AV853" s="14">
        <f>L853</f>
        <v>0</v>
      </c>
    </row>
    <row r="854" spans="1:37" ht="12.75">
      <c r="A854" s="93"/>
      <c r="B854" s="94" t="s">
        <v>407</v>
      </c>
      <c r="C854" s="94" t="s">
        <v>502</v>
      </c>
      <c r="D854" s="95" t="s">
        <v>1064</v>
      </c>
      <c r="E854" s="96"/>
      <c r="F854" s="96"/>
      <c r="G854" s="96"/>
      <c r="H854" s="97">
        <f>SUM(H855:H874)</f>
        <v>0</v>
      </c>
      <c r="I854" s="97">
        <f>SUM(I855:I874)</f>
        <v>0</v>
      </c>
      <c r="J854" s="97">
        <f>H854+I854</f>
        <v>0</v>
      </c>
      <c r="K854" s="98"/>
      <c r="L854" s="97">
        <f>SUM(L855:L874)</f>
        <v>0.21824359999999998</v>
      </c>
      <c r="M854" s="98"/>
      <c r="Y854" s="8" t="s">
        <v>407</v>
      </c>
      <c r="AI854" s="16">
        <f>SUM(Z855:Z874)</f>
        <v>0</v>
      </c>
      <c r="AJ854" s="16">
        <f>SUM(AA855:AA874)</f>
        <v>0</v>
      </c>
      <c r="AK854" s="16">
        <f>SUM(AB855:AB874)</f>
        <v>0</v>
      </c>
    </row>
    <row r="855" spans="1:48" ht="12.75">
      <c r="A855" s="99" t="s">
        <v>301</v>
      </c>
      <c r="B855" s="99" t="s">
        <v>407</v>
      </c>
      <c r="C855" s="99" t="s">
        <v>503</v>
      </c>
      <c r="D855" s="99" t="s">
        <v>1065</v>
      </c>
      <c r="E855" s="99" t="s">
        <v>1640</v>
      </c>
      <c r="F855" s="100">
        <v>47.97</v>
      </c>
      <c r="G855" s="100">
        <v>0</v>
      </c>
      <c r="H855" s="100">
        <f>F855*AE855</f>
        <v>0</v>
      </c>
      <c r="I855" s="100">
        <f>J855-H855</f>
        <v>0</v>
      </c>
      <c r="J855" s="100">
        <f>F855*G855</f>
        <v>0</v>
      </c>
      <c r="K855" s="100">
        <v>0.00261</v>
      </c>
      <c r="L855" s="100">
        <f>F855*K855</f>
        <v>0.1252017</v>
      </c>
      <c r="M855" s="101" t="s">
        <v>1667</v>
      </c>
      <c r="P855" s="14">
        <f>IF(AG855="5",J855,0)</f>
        <v>0</v>
      </c>
      <c r="R855" s="14">
        <f>IF(AG855="1",H855,0)</f>
        <v>0</v>
      </c>
      <c r="S855" s="14">
        <f>IF(AG855="1",I855,0)</f>
        <v>0</v>
      </c>
      <c r="T855" s="14">
        <f>IF(AG855="7",H855,0)</f>
        <v>0</v>
      </c>
      <c r="U855" s="14">
        <f>IF(AG855="7",I855,0)</f>
        <v>0</v>
      </c>
      <c r="V855" s="14">
        <f>IF(AG855="2",H855,0)</f>
        <v>0</v>
      </c>
      <c r="W855" s="14">
        <f>IF(AG855="2",I855,0)</f>
        <v>0</v>
      </c>
      <c r="X855" s="14">
        <f>IF(AG855="0",J855,0)</f>
        <v>0</v>
      </c>
      <c r="Y855" s="8" t="s">
        <v>407</v>
      </c>
      <c r="Z855" s="5">
        <f>IF(AD855=0,J855,0)</f>
        <v>0</v>
      </c>
      <c r="AA855" s="5">
        <f>IF(AD855=15,J855,0)</f>
        <v>0</v>
      </c>
      <c r="AB855" s="5">
        <f>IF(AD855=21,J855,0)</f>
        <v>0</v>
      </c>
      <c r="AD855" s="14">
        <v>15</v>
      </c>
      <c r="AE855" s="14">
        <f>G855*0.661953352769679</f>
        <v>0</v>
      </c>
      <c r="AF855" s="14">
        <f>G855*(1-0.661953352769679)</f>
        <v>0</v>
      </c>
      <c r="AG855" s="10" t="s">
        <v>13</v>
      </c>
      <c r="AM855" s="14">
        <f>F855*AE855</f>
        <v>0</v>
      </c>
      <c r="AN855" s="14">
        <f>F855*AF855</f>
        <v>0</v>
      </c>
      <c r="AO855" s="15" t="s">
        <v>1695</v>
      </c>
      <c r="AP855" s="15" t="s">
        <v>1744</v>
      </c>
      <c r="AQ855" s="8" t="s">
        <v>1770</v>
      </c>
      <c r="AS855" s="14">
        <f>AM855+AN855</f>
        <v>0</v>
      </c>
      <c r="AT855" s="14">
        <f>G855/(100-AU855)*100</f>
        <v>0</v>
      </c>
      <c r="AU855" s="14">
        <v>0</v>
      </c>
      <c r="AV855" s="14">
        <f>L855</f>
        <v>0.1252017</v>
      </c>
    </row>
    <row r="856" spans="1:13" ht="12.75">
      <c r="A856" s="102"/>
      <c r="B856" s="102"/>
      <c r="C856" s="102"/>
      <c r="D856" s="103" t="s">
        <v>1472</v>
      </c>
      <c r="E856" s="102"/>
      <c r="F856" s="104">
        <v>35.93</v>
      </c>
      <c r="G856" s="102"/>
      <c r="H856" s="102"/>
      <c r="I856" s="102"/>
      <c r="J856" s="102"/>
      <c r="K856" s="102"/>
      <c r="L856" s="102"/>
      <c r="M856" s="102"/>
    </row>
    <row r="857" spans="1:13" ht="12.75">
      <c r="A857" s="102"/>
      <c r="B857" s="102"/>
      <c r="C857" s="102"/>
      <c r="D857" s="103" t="s">
        <v>1473</v>
      </c>
      <c r="E857" s="102"/>
      <c r="F857" s="104">
        <v>2.93</v>
      </c>
      <c r="G857" s="102"/>
      <c r="H857" s="102"/>
      <c r="I857" s="102"/>
      <c r="J857" s="102"/>
      <c r="K857" s="102"/>
      <c r="L857" s="102"/>
      <c r="M857" s="102"/>
    </row>
    <row r="858" spans="1:13" ht="12.75">
      <c r="A858" s="102"/>
      <c r="B858" s="102"/>
      <c r="C858" s="102"/>
      <c r="D858" s="103" t="s">
        <v>1474</v>
      </c>
      <c r="E858" s="102"/>
      <c r="F858" s="104">
        <v>5.52</v>
      </c>
      <c r="G858" s="102"/>
      <c r="H858" s="102"/>
      <c r="I858" s="102"/>
      <c r="J858" s="102"/>
      <c r="K858" s="102"/>
      <c r="L858" s="102"/>
      <c r="M858" s="102"/>
    </row>
    <row r="859" spans="1:13" ht="12.75">
      <c r="A859" s="102"/>
      <c r="B859" s="102"/>
      <c r="C859" s="102"/>
      <c r="D859" s="103" t="s">
        <v>1475</v>
      </c>
      <c r="E859" s="102"/>
      <c r="F859" s="104">
        <v>3.59</v>
      </c>
      <c r="G859" s="102"/>
      <c r="H859" s="102"/>
      <c r="I859" s="102"/>
      <c r="J859" s="102"/>
      <c r="K859" s="102"/>
      <c r="L859" s="102"/>
      <c r="M859" s="102"/>
    </row>
    <row r="860" spans="1:48" ht="12.75">
      <c r="A860" s="99" t="s">
        <v>302</v>
      </c>
      <c r="B860" s="99" t="s">
        <v>407</v>
      </c>
      <c r="C860" s="99" t="s">
        <v>504</v>
      </c>
      <c r="D860" s="99" t="s">
        <v>1069</v>
      </c>
      <c r="E860" s="99" t="s">
        <v>1643</v>
      </c>
      <c r="F860" s="100">
        <v>25.04</v>
      </c>
      <c r="G860" s="100">
        <v>0</v>
      </c>
      <c r="H860" s="100">
        <f>F860*AE860</f>
        <v>0</v>
      </c>
      <c r="I860" s="100">
        <f>J860-H860</f>
        <v>0</v>
      </c>
      <c r="J860" s="100">
        <f>F860*G860</f>
        <v>0</v>
      </c>
      <c r="K860" s="100">
        <v>0.00184</v>
      </c>
      <c r="L860" s="100">
        <f>F860*K860</f>
        <v>0.0460736</v>
      </c>
      <c r="M860" s="101" t="s">
        <v>1667</v>
      </c>
      <c r="P860" s="14">
        <f>IF(AG860="5",J860,0)</f>
        <v>0</v>
      </c>
      <c r="R860" s="14">
        <f>IF(AG860="1",H860,0)</f>
        <v>0</v>
      </c>
      <c r="S860" s="14">
        <f>IF(AG860="1",I860,0)</f>
        <v>0</v>
      </c>
      <c r="T860" s="14">
        <f>IF(AG860="7",H860,0)</f>
        <v>0</v>
      </c>
      <c r="U860" s="14">
        <f>IF(AG860="7",I860,0)</f>
        <v>0</v>
      </c>
      <c r="V860" s="14">
        <f>IF(AG860="2",H860,0)</f>
        <v>0</v>
      </c>
      <c r="W860" s="14">
        <f>IF(AG860="2",I860,0)</f>
        <v>0</v>
      </c>
      <c r="X860" s="14">
        <f>IF(AG860="0",J860,0)</f>
        <v>0</v>
      </c>
      <c r="Y860" s="8" t="s">
        <v>407</v>
      </c>
      <c r="Z860" s="5">
        <f>IF(AD860=0,J860,0)</f>
        <v>0</v>
      </c>
      <c r="AA860" s="5">
        <f>IF(AD860=15,J860,0)</f>
        <v>0</v>
      </c>
      <c r="AB860" s="5">
        <f>IF(AD860=21,J860,0)</f>
        <v>0</v>
      </c>
      <c r="AD860" s="14">
        <v>15</v>
      </c>
      <c r="AE860" s="14">
        <f>G860*0.58455764565884</f>
        <v>0</v>
      </c>
      <c r="AF860" s="14">
        <f>G860*(1-0.58455764565884)</f>
        <v>0</v>
      </c>
      <c r="AG860" s="10" t="s">
        <v>13</v>
      </c>
      <c r="AM860" s="14">
        <f>F860*AE860</f>
        <v>0</v>
      </c>
      <c r="AN860" s="14">
        <f>F860*AF860</f>
        <v>0</v>
      </c>
      <c r="AO860" s="15" t="s">
        <v>1695</v>
      </c>
      <c r="AP860" s="15" t="s">
        <v>1744</v>
      </c>
      <c r="AQ860" s="8" t="s">
        <v>1770</v>
      </c>
      <c r="AS860" s="14">
        <f>AM860+AN860</f>
        <v>0</v>
      </c>
      <c r="AT860" s="14">
        <f>G860/(100-AU860)*100</f>
        <v>0</v>
      </c>
      <c r="AU860" s="14">
        <v>0</v>
      </c>
      <c r="AV860" s="14">
        <f>L860</f>
        <v>0.0460736</v>
      </c>
    </row>
    <row r="861" spans="1:13" ht="12.75">
      <c r="A861" s="102"/>
      <c r="B861" s="102"/>
      <c r="C861" s="102"/>
      <c r="D861" s="103" t="s">
        <v>1476</v>
      </c>
      <c r="E861" s="102"/>
      <c r="F861" s="104">
        <v>14</v>
      </c>
      <c r="G861" s="102"/>
      <c r="H861" s="102"/>
      <c r="I861" s="102"/>
      <c r="J861" s="102"/>
      <c r="K861" s="102"/>
      <c r="L861" s="102"/>
      <c r="M861" s="102"/>
    </row>
    <row r="862" spans="1:13" ht="12.75">
      <c r="A862" s="102"/>
      <c r="B862" s="102"/>
      <c r="C862" s="102"/>
      <c r="D862" s="103" t="s">
        <v>1477</v>
      </c>
      <c r="E862" s="102"/>
      <c r="F862" s="104">
        <v>11.04</v>
      </c>
      <c r="G862" s="102"/>
      <c r="H862" s="102"/>
      <c r="I862" s="102"/>
      <c r="J862" s="102"/>
      <c r="K862" s="102"/>
      <c r="L862" s="102"/>
      <c r="M862" s="102"/>
    </row>
    <row r="863" spans="1:48" ht="12.75">
      <c r="A863" s="99" t="s">
        <v>303</v>
      </c>
      <c r="B863" s="99" t="s">
        <v>407</v>
      </c>
      <c r="C863" s="99" t="s">
        <v>689</v>
      </c>
      <c r="D863" s="99" t="s">
        <v>1478</v>
      </c>
      <c r="E863" s="99" t="s">
        <v>1643</v>
      </c>
      <c r="F863" s="100">
        <v>2</v>
      </c>
      <c r="G863" s="100">
        <v>0</v>
      </c>
      <c r="H863" s="100">
        <f>F863*AE863</f>
        <v>0</v>
      </c>
      <c r="I863" s="100">
        <f>J863-H863</f>
        <v>0</v>
      </c>
      <c r="J863" s="100">
        <f>F863*G863</f>
        <v>0</v>
      </c>
      <c r="K863" s="100">
        <v>0.00076</v>
      </c>
      <c r="L863" s="100">
        <f>F863*K863</f>
        <v>0.00152</v>
      </c>
      <c r="M863" s="101" t="s">
        <v>1667</v>
      </c>
      <c r="P863" s="14">
        <f>IF(AG863="5",J863,0)</f>
        <v>0</v>
      </c>
      <c r="R863" s="14">
        <f>IF(AG863="1",H863,0)</f>
        <v>0</v>
      </c>
      <c r="S863" s="14">
        <f>IF(AG863="1",I863,0)</f>
        <v>0</v>
      </c>
      <c r="T863" s="14">
        <f>IF(AG863="7",H863,0)</f>
        <v>0</v>
      </c>
      <c r="U863" s="14">
        <f>IF(AG863="7",I863,0)</f>
        <v>0</v>
      </c>
      <c r="V863" s="14">
        <f>IF(AG863="2",H863,0)</f>
        <v>0</v>
      </c>
      <c r="W863" s="14">
        <f>IF(AG863="2",I863,0)</f>
        <v>0</v>
      </c>
      <c r="X863" s="14">
        <f>IF(AG863="0",J863,0)</f>
        <v>0</v>
      </c>
      <c r="Y863" s="8" t="s">
        <v>407</v>
      </c>
      <c r="Z863" s="5">
        <f>IF(AD863=0,J863,0)</f>
        <v>0</v>
      </c>
      <c r="AA863" s="5">
        <f>IF(AD863=15,J863,0)</f>
        <v>0</v>
      </c>
      <c r="AB863" s="5">
        <f>IF(AD863=21,J863,0)</f>
        <v>0</v>
      </c>
      <c r="AD863" s="14">
        <v>15</v>
      </c>
      <c r="AE863" s="14">
        <f>G863*0.4325</f>
        <v>0</v>
      </c>
      <c r="AF863" s="14">
        <f>G863*(1-0.4325)</f>
        <v>0</v>
      </c>
      <c r="AG863" s="10" t="s">
        <v>13</v>
      </c>
      <c r="AM863" s="14">
        <f>F863*AE863</f>
        <v>0</v>
      </c>
      <c r="AN863" s="14">
        <f>F863*AF863</f>
        <v>0</v>
      </c>
      <c r="AO863" s="15" t="s">
        <v>1695</v>
      </c>
      <c r="AP863" s="15" t="s">
        <v>1744</v>
      </c>
      <c r="AQ863" s="8" t="s">
        <v>1770</v>
      </c>
      <c r="AS863" s="14">
        <f>AM863+AN863</f>
        <v>0</v>
      </c>
      <c r="AT863" s="14">
        <f>G863/(100-AU863)*100</f>
        <v>0</v>
      </c>
      <c r="AU863" s="14">
        <v>0</v>
      </c>
      <c r="AV863" s="14">
        <f>L863</f>
        <v>0.00152</v>
      </c>
    </row>
    <row r="864" spans="1:13" ht="12.75">
      <c r="A864" s="102"/>
      <c r="B864" s="102"/>
      <c r="C864" s="102"/>
      <c r="D864" s="103" t="s">
        <v>1479</v>
      </c>
      <c r="E864" s="102"/>
      <c r="F864" s="104">
        <v>2</v>
      </c>
      <c r="G864" s="102"/>
      <c r="H864" s="102"/>
      <c r="I864" s="102"/>
      <c r="J864" s="102"/>
      <c r="K864" s="102"/>
      <c r="L864" s="102"/>
      <c r="M864" s="102"/>
    </row>
    <row r="865" spans="1:48" ht="12.75">
      <c r="A865" s="99" t="s">
        <v>304</v>
      </c>
      <c r="B865" s="99" t="s">
        <v>407</v>
      </c>
      <c r="C865" s="99" t="s">
        <v>690</v>
      </c>
      <c r="D865" s="99" t="s">
        <v>1480</v>
      </c>
      <c r="E865" s="99" t="s">
        <v>1643</v>
      </c>
      <c r="F865" s="100">
        <v>25.04</v>
      </c>
      <c r="G865" s="100">
        <v>0</v>
      </c>
      <c r="H865" s="100">
        <f>F865*AE865</f>
        <v>0</v>
      </c>
      <c r="I865" s="100">
        <f>J865-H865</f>
        <v>0</v>
      </c>
      <c r="J865" s="100">
        <f>F865*G865</f>
        <v>0</v>
      </c>
      <c r="K865" s="100">
        <v>0.00043</v>
      </c>
      <c r="L865" s="100">
        <f>F865*K865</f>
        <v>0.0107672</v>
      </c>
      <c r="M865" s="101" t="s">
        <v>1667</v>
      </c>
      <c r="P865" s="14">
        <f>IF(AG865="5",J865,0)</f>
        <v>0</v>
      </c>
      <c r="R865" s="14">
        <f>IF(AG865="1",H865,0)</f>
        <v>0</v>
      </c>
      <c r="S865" s="14">
        <f>IF(AG865="1",I865,0)</f>
        <v>0</v>
      </c>
      <c r="T865" s="14">
        <f>IF(AG865="7",H865,0)</f>
        <v>0</v>
      </c>
      <c r="U865" s="14">
        <f>IF(AG865="7",I865,0)</f>
        <v>0</v>
      </c>
      <c r="V865" s="14">
        <f>IF(AG865="2",H865,0)</f>
        <v>0</v>
      </c>
      <c r="W865" s="14">
        <f>IF(AG865="2",I865,0)</f>
        <v>0</v>
      </c>
      <c r="X865" s="14">
        <f>IF(AG865="0",J865,0)</f>
        <v>0</v>
      </c>
      <c r="Y865" s="8" t="s">
        <v>407</v>
      </c>
      <c r="Z865" s="5">
        <f>IF(AD865=0,J865,0)</f>
        <v>0</v>
      </c>
      <c r="AA865" s="5">
        <f>IF(AD865=15,J865,0)</f>
        <v>0</v>
      </c>
      <c r="AB865" s="5">
        <f>IF(AD865=21,J865,0)</f>
        <v>0</v>
      </c>
      <c r="AD865" s="14">
        <v>15</v>
      </c>
      <c r="AE865" s="14">
        <f>G865*0.28978102189781</f>
        <v>0</v>
      </c>
      <c r="AF865" s="14">
        <f>G865*(1-0.28978102189781)</f>
        <v>0</v>
      </c>
      <c r="AG865" s="10" t="s">
        <v>13</v>
      </c>
      <c r="AM865" s="14">
        <f>F865*AE865</f>
        <v>0</v>
      </c>
      <c r="AN865" s="14">
        <f>F865*AF865</f>
        <v>0</v>
      </c>
      <c r="AO865" s="15" t="s">
        <v>1695</v>
      </c>
      <c r="AP865" s="15" t="s">
        <v>1744</v>
      </c>
      <c r="AQ865" s="8" t="s">
        <v>1770</v>
      </c>
      <c r="AS865" s="14">
        <f>AM865+AN865</f>
        <v>0</v>
      </c>
      <c r="AT865" s="14">
        <f>G865/(100-AU865)*100</f>
        <v>0</v>
      </c>
      <c r="AU865" s="14">
        <v>0</v>
      </c>
      <c r="AV865" s="14">
        <f>L865</f>
        <v>0.0107672</v>
      </c>
    </row>
    <row r="866" spans="1:48" ht="12.75">
      <c r="A866" s="99" t="s">
        <v>305</v>
      </c>
      <c r="B866" s="99" t="s">
        <v>407</v>
      </c>
      <c r="C866" s="99" t="s">
        <v>691</v>
      </c>
      <c r="D866" s="99" t="s">
        <v>1481</v>
      </c>
      <c r="E866" s="99" t="s">
        <v>1641</v>
      </c>
      <c r="F866" s="100">
        <v>1</v>
      </c>
      <c r="G866" s="100">
        <v>0</v>
      </c>
      <c r="H866" s="100">
        <f>F866*AE866</f>
        <v>0</v>
      </c>
      <c r="I866" s="100">
        <f>J866-H866</f>
        <v>0</v>
      </c>
      <c r="J866" s="100">
        <f>F866*G866</f>
        <v>0</v>
      </c>
      <c r="K866" s="100">
        <v>0.00155</v>
      </c>
      <c r="L866" s="100">
        <f>F866*K866</f>
        <v>0.00155</v>
      </c>
      <c r="M866" s="101" t="s">
        <v>1667</v>
      </c>
      <c r="P866" s="14">
        <f>IF(AG866="5",J866,0)</f>
        <v>0</v>
      </c>
      <c r="R866" s="14">
        <f>IF(AG866="1",H866,0)</f>
        <v>0</v>
      </c>
      <c r="S866" s="14">
        <f>IF(AG866="1",I866,0)</f>
        <v>0</v>
      </c>
      <c r="T866" s="14">
        <f>IF(AG866="7",H866,0)</f>
        <v>0</v>
      </c>
      <c r="U866" s="14">
        <f>IF(AG866="7",I866,0)</f>
        <v>0</v>
      </c>
      <c r="V866" s="14">
        <f>IF(AG866="2",H866,0)</f>
        <v>0</v>
      </c>
      <c r="W866" s="14">
        <f>IF(AG866="2",I866,0)</f>
        <v>0</v>
      </c>
      <c r="X866" s="14">
        <f>IF(AG866="0",J866,0)</f>
        <v>0</v>
      </c>
      <c r="Y866" s="8" t="s">
        <v>407</v>
      </c>
      <c r="Z866" s="5">
        <f>IF(AD866=0,J866,0)</f>
        <v>0</v>
      </c>
      <c r="AA866" s="5">
        <f>IF(AD866=15,J866,0)</f>
        <v>0</v>
      </c>
      <c r="AB866" s="5">
        <f>IF(AD866=21,J866,0)</f>
        <v>0</v>
      </c>
      <c r="AD866" s="14">
        <v>15</v>
      </c>
      <c r="AE866" s="14">
        <f>G866*0.852048838594402</f>
        <v>0</v>
      </c>
      <c r="AF866" s="14">
        <f>G866*(1-0.852048838594402)</f>
        <v>0</v>
      </c>
      <c r="AG866" s="10" t="s">
        <v>13</v>
      </c>
      <c r="AM866" s="14">
        <f>F866*AE866</f>
        <v>0</v>
      </c>
      <c r="AN866" s="14">
        <f>F866*AF866</f>
        <v>0</v>
      </c>
      <c r="AO866" s="15" t="s">
        <v>1695</v>
      </c>
      <c r="AP866" s="15" t="s">
        <v>1744</v>
      </c>
      <c r="AQ866" s="8" t="s">
        <v>1770</v>
      </c>
      <c r="AS866" s="14">
        <f>AM866+AN866</f>
        <v>0</v>
      </c>
      <c r="AT866" s="14">
        <f>G866/(100-AU866)*100</f>
        <v>0</v>
      </c>
      <c r="AU866" s="14">
        <v>0</v>
      </c>
      <c r="AV866" s="14">
        <f>L866</f>
        <v>0.00155</v>
      </c>
    </row>
    <row r="867" spans="1:48" ht="12.75">
      <c r="A867" s="99" t="s">
        <v>306</v>
      </c>
      <c r="B867" s="99" t="s">
        <v>407</v>
      </c>
      <c r="C867" s="99" t="s">
        <v>692</v>
      </c>
      <c r="D867" s="99" t="s">
        <v>1482</v>
      </c>
      <c r="E867" s="99" t="s">
        <v>1640</v>
      </c>
      <c r="F867" s="100">
        <v>47.97</v>
      </c>
      <c r="G867" s="100">
        <v>0</v>
      </c>
      <c r="H867" s="100">
        <f>F867*AE867</f>
        <v>0</v>
      </c>
      <c r="I867" s="100">
        <f>J867-H867</f>
        <v>0</v>
      </c>
      <c r="J867" s="100">
        <f>F867*G867</f>
        <v>0</v>
      </c>
      <c r="K867" s="100">
        <v>0.00023</v>
      </c>
      <c r="L867" s="100">
        <f>F867*K867</f>
        <v>0.0110331</v>
      </c>
      <c r="M867" s="101" t="s">
        <v>1667</v>
      </c>
      <c r="P867" s="14">
        <f>IF(AG867="5",J867,0)</f>
        <v>0</v>
      </c>
      <c r="R867" s="14">
        <f>IF(AG867="1",H867,0)</f>
        <v>0</v>
      </c>
      <c r="S867" s="14">
        <f>IF(AG867="1",I867,0)</f>
        <v>0</v>
      </c>
      <c r="T867" s="14">
        <f>IF(AG867="7",H867,0)</f>
        <v>0</v>
      </c>
      <c r="U867" s="14">
        <f>IF(AG867="7",I867,0)</f>
        <v>0</v>
      </c>
      <c r="V867" s="14">
        <f>IF(AG867="2",H867,0)</f>
        <v>0</v>
      </c>
      <c r="W867" s="14">
        <f>IF(AG867="2",I867,0)</f>
        <v>0</v>
      </c>
      <c r="X867" s="14">
        <f>IF(AG867="0",J867,0)</f>
        <v>0</v>
      </c>
      <c r="Y867" s="8" t="s">
        <v>407</v>
      </c>
      <c r="Z867" s="5">
        <f>IF(AD867=0,J867,0)</f>
        <v>0</v>
      </c>
      <c r="AA867" s="5">
        <f>IF(AD867=15,J867,0)</f>
        <v>0</v>
      </c>
      <c r="AB867" s="5">
        <f>IF(AD867=21,J867,0)</f>
        <v>0</v>
      </c>
      <c r="AD867" s="14">
        <v>15</v>
      </c>
      <c r="AE867" s="14">
        <f>G867*0.366783831282952</f>
        <v>0</v>
      </c>
      <c r="AF867" s="14">
        <f>G867*(1-0.366783831282952)</f>
        <v>0</v>
      </c>
      <c r="AG867" s="10" t="s">
        <v>13</v>
      </c>
      <c r="AM867" s="14">
        <f>F867*AE867</f>
        <v>0</v>
      </c>
      <c r="AN867" s="14">
        <f>F867*AF867</f>
        <v>0</v>
      </c>
      <c r="AO867" s="15" t="s">
        <v>1695</v>
      </c>
      <c r="AP867" s="15" t="s">
        <v>1744</v>
      </c>
      <c r="AQ867" s="8" t="s">
        <v>1770</v>
      </c>
      <c r="AS867" s="14">
        <f>AM867+AN867</f>
        <v>0</v>
      </c>
      <c r="AT867" s="14">
        <f>G867/(100-AU867)*100</f>
        <v>0</v>
      </c>
      <c r="AU867" s="14">
        <v>0</v>
      </c>
      <c r="AV867" s="14">
        <f>L867</f>
        <v>0.0110331</v>
      </c>
    </row>
    <row r="868" spans="1:48" ht="12.75">
      <c r="A868" s="99" t="s">
        <v>307</v>
      </c>
      <c r="B868" s="99" t="s">
        <v>407</v>
      </c>
      <c r="C868" s="99" t="s">
        <v>693</v>
      </c>
      <c r="D868" s="99" t="s">
        <v>1483</v>
      </c>
      <c r="E868" s="99" t="s">
        <v>1640</v>
      </c>
      <c r="F868" s="100">
        <v>35.93</v>
      </c>
      <c r="G868" s="100">
        <v>0</v>
      </c>
      <c r="H868" s="100">
        <f>F868*AE868</f>
        <v>0</v>
      </c>
      <c r="I868" s="100">
        <f>J868-H868</f>
        <v>0</v>
      </c>
      <c r="J868" s="100">
        <f>F868*G868</f>
        <v>0</v>
      </c>
      <c r="K868" s="100">
        <v>0.00026</v>
      </c>
      <c r="L868" s="100">
        <f>F868*K868</f>
        <v>0.009341799999999999</v>
      </c>
      <c r="M868" s="101" t="s">
        <v>1667</v>
      </c>
      <c r="P868" s="14">
        <f>IF(AG868="5",J868,0)</f>
        <v>0</v>
      </c>
      <c r="R868" s="14">
        <f>IF(AG868="1",H868,0)</f>
        <v>0</v>
      </c>
      <c r="S868" s="14">
        <f>IF(AG868="1",I868,0)</f>
        <v>0</v>
      </c>
      <c r="T868" s="14">
        <f>IF(AG868="7",H868,0)</f>
        <v>0</v>
      </c>
      <c r="U868" s="14">
        <f>IF(AG868="7",I868,0)</f>
        <v>0</v>
      </c>
      <c r="V868" s="14">
        <f>IF(AG868="2",H868,0)</f>
        <v>0</v>
      </c>
      <c r="W868" s="14">
        <f>IF(AG868="2",I868,0)</f>
        <v>0</v>
      </c>
      <c r="X868" s="14">
        <f>IF(AG868="0",J868,0)</f>
        <v>0</v>
      </c>
      <c r="Y868" s="8" t="s">
        <v>407</v>
      </c>
      <c r="Z868" s="5">
        <f>IF(AD868=0,J868,0)</f>
        <v>0</v>
      </c>
      <c r="AA868" s="5">
        <f>IF(AD868=15,J868,0)</f>
        <v>0</v>
      </c>
      <c r="AB868" s="5">
        <f>IF(AD868=21,J868,0)</f>
        <v>0</v>
      </c>
      <c r="AD868" s="14">
        <v>15</v>
      </c>
      <c r="AE868" s="14">
        <f>G868*0.371216617210682</f>
        <v>0</v>
      </c>
      <c r="AF868" s="14">
        <f>G868*(1-0.371216617210682)</f>
        <v>0</v>
      </c>
      <c r="AG868" s="10" t="s">
        <v>13</v>
      </c>
      <c r="AM868" s="14">
        <f>F868*AE868</f>
        <v>0</v>
      </c>
      <c r="AN868" s="14">
        <f>F868*AF868</f>
        <v>0</v>
      </c>
      <c r="AO868" s="15" t="s">
        <v>1695</v>
      </c>
      <c r="AP868" s="15" t="s">
        <v>1744</v>
      </c>
      <c r="AQ868" s="8" t="s">
        <v>1770</v>
      </c>
      <c r="AS868" s="14">
        <f>AM868+AN868</f>
        <v>0</v>
      </c>
      <c r="AT868" s="14">
        <f>G868/(100-AU868)*100</f>
        <v>0</v>
      </c>
      <c r="AU868" s="14">
        <v>0</v>
      </c>
      <c r="AV868" s="14">
        <f>L868</f>
        <v>0.009341799999999999</v>
      </c>
    </row>
    <row r="869" spans="1:13" ht="12.75">
      <c r="A869" s="102"/>
      <c r="B869" s="102"/>
      <c r="C869" s="102"/>
      <c r="D869" s="103" t="s">
        <v>1440</v>
      </c>
      <c r="E869" s="102"/>
      <c r="F869" s="104">
        <v>35.93</v>
      </c>
      <c r="G869" s="102"/>
      <c r="H869" s="102"/>
      <c r="I869" s="102"/>
      <c r="J869" s="102"/>
      <c r="K869" s="102"/>
      <c r="L869" s="102"/>
      <c r="M869" s="102"/>
    </row>
    <row r="870" spans="1:48" ht="12.75">
      <c r="A870" s="105" t="s">
        <v>308</v>
      </c>
      <c r="B870" s="105" t="s">
        <v>407</v>
      </c>
      <c r="C870" s="105" t="s">
        <v>522</v>
      </c>
      <c r="D870" s="105" t="s">
        <v>1099</v>
      </c>
      <c r="E870" s="105" t="s">
        <v>1640</v>
      </c>
      <c r="F870" s="106">
        <v>37.73</v>
      </c>
      <c r="G870" s="106">
        <v>0</v>
      </c>
      <c r="H870" s="106">
        <f>F870*AE870</f>
        <v>0</v>
      </c>
      <c r="I870" s="106">
        <f>J870-H870</f>
        <v>0</v>
      </c>
      <c r="J870" s="106">
        <f>F870*G870</f>
        <v>0</v>
      </c>
      <c r="K870" s="106">
        <v>0.0003</v>
      </c>
      <c r="L870" s="106">
        <f>F870*K870</f>
        <v>0.011318999999999997</v>
      </c>
      <c r="M870" s="107" t="s">
        <v>1667</v>
      </c>
      <c r="P870" s="14">
        <f>IF(AG870="5",J870,0)</f>
        <v>0</v>
      </c>
      <c r="R870" s="14">
        <f>IF(AG870="1",H870,0)</f>
        <v>0</v>
      </c>
      <c r="S870" s="14">
        <f>IF(AG870="1",I870,0)</f>
        <v>0</v>
      </c>
      <c r="T870" s="14">
        <f>IF(AG870="7",H870,0)</f>
        <v>0</v>
      </c>
      <c r="U870" s="14">
        <f>IF(AG870="7",I870,0)</f>
        <v>0</v>
      </c>
      <c r="V870" s="14">
        <f>IF(AG870="2",H870,0)</f>
        <v>0</v>
      </c>
      <c r="W870" s="14">
        <f>IF(AG870="2",I870,0)</f>
        <v>0</v>
      </c>
      <c r="X870" s="14">
        <f>IF(AG870="0",J870,0)</f>
        <v>0</v>
      </c>
      <c r="Y870" s="8" t="s">
        <v>407</v>
      </c>
      <c r="Z870" s="6">
        <f>IF(AD870=0,J870,0)</f>
        <v>0</v>
      </c>
      <c r="AA870" s="6">
        <f>IF(AD870=15,J870,0)</f>
        <v>0</v>
      </c>
      <c r="AB870" s="6">
        <f>IF(AD870=21,J870,0)</f>
        <v>0</v>
      </c>
      <c r="AD870" s="14">
        <v>15</v>
      </c>
      <c r="AE870" s="14">
        <f>G870*1</f>
        <v>0</v>
      </c>
      <c r="AF870" s="14">
        <f>G870*(1-1)</f>
        <v>0</v>
      </c>
      <c r="AG870" s="11" t="s">
        <v>13</v>
      </c>
      <c r="AM870" s="14">
        <f>F870*AE870</f>
        <v>0</v>
      </c>
      <c r="AN870" s="14">
        <f>F870*AF870</f>
        <v>0</v>
      </c>
      <c r="AO870" s="15" t="s">
        <v>1695</v>
      </c>
      <c r="AP870" s="15" t="s">
        <v>1744</v>
      </c>
      <c r="AQ870" s="8" t="s">
        <v>1770</v>
      </c>
      <c r="AS870" s="14">
        <f>AM870+AN870</f>
        <v>0</v>
      </c>
      <c r="AT870" s="14">
        <f>G870/(100-AU870)*100</f>
        <v>0</v>
      </c>
      <c r="AU870" s="14">
        <v>0</v>
      </c>
      <c r="AV870" s="14">
        <f>L870</f>
        <v>0.011318999999999997</v>
      </c>
    </row>
    <row r="871" spans="1:13" ht="12.75">
      <c r="A871" s="102"/>
      <c r="B871" s="102"/>
      <c r="C871" s="102"/>
      <c r="D871" s="103" t="s">
        <v>1484</v>
      </c>
      <c r="E871" s="102"/>
      <c r="F871" s="104">
        <v>37.73</v>
      </c>
      <c r="G871" s="102"/>
      <c r="H871" s="102"/>
      <c r="I871" s="102"/>
      <c r="J871" s="102"/>
      <c r="K871" s="102"/>
      <c r="L871" s="102"/>
      <c r="M871" s="102"/>
    </row>
    <row r="872" spans="1:48" ht="12.75">
      <c r="A872" s="99" t="s">
        <v>309</v>
      </c>
      <c r="B872" s="99" t="s">
        <v>407</v>
      </c>
      <c r="C872" s="99" t="s">
        <v>521</v>
      </c>
      <c r="D872" s="99" t="s">
        <v>1098</v>
      </c>
      <c r="E872" s="99" t="s">
        <v>1640</v>
      </c>
      <c r="F872" s="100">
        <v>35.93</v>
      </c>
      <c r="G872" s="100">
        <v>0</v>
      </c>
      <c r="H872" s="100">
        <f>F872*AE872</f>
        <v>0</v>
      </c>
      <c r="I872" s="100">
        <f>J872-H872</f>
        <v>0</v>
      </c>
      <c r="J872" s="100">
        <f>F872*G872</f>
        <v>0</v>
      </c>
      <c r="K872" s="100">
        <v>4E-05</v>
      </c>
      <c r="L872" s="100">
        <f>F872*K872</f>
        <v>0.0014372</v>
      </c>
      <c r="M872" s="101" t="s">
        <v>1667</v>
      </c>
      <c r="P872" s="14">
        <f>IF(AG872="5",J872,0)</f>
        <v>0</v>
      </c>
      <c r="R872" s="14">
        <f>IF(AG872="1",H872,0)</f>
        <v>0</v>
      </c>
      <c r="S872" s="14">
        <f>IF(AG872="1",I872,0)</f>
        <v>0</v>
      </c>
      <c r="T872" s="14">
        <f>IF(AG872="7",H872,0)</f>
        <v>0</v>
      </c>
      <c r="U872" s="14">
        <f>IF(AG872="7",I872,0)</f>
        <v>0</v>
      </c>
      <c r="V872" s="14">
        <f>IF(AG872="2",H872,0)</f>
        <v>0</v>
      </c>
      <c r="W872" s="14">
        <f>IF(AG872="2",I872,0)</f>
        <v>0</v>
      </c>
      <c r="X872" s="14">
        <f>IF(AG872="0",J872,0)</f>
        <v>0</v>
      </c>
      <c r="Y872" s="8" t="s">
        <v>407</v>
      </c>
      <c r="Z872" s="5">
        <f>IF(AD872=0,J872,0)</f>
        <v>0</v>
      </c>
      <c r="AA872" s="5">
        <f>IF(AD872=15,J872,0)</f>
        <v>0</v>
      </c>
      <c r="AB872" s="5">
        <f>IF(AD872=21,J872,0)</f>
        <v>0</v>
      </c>
      <c r="AD872" s="14">
        <v>15</v>
      </c>
      <c r="AE872" s="14">
        <f>G872*0.0281767955801105</f>
        <v>0</v>
      </c>
      <c r="AF872" s="14">
        <f>G872*(1-0.0281767955801105)</f>
        <v>0</v>
      </c>
      <c r="AG872" s="10" t="s">
        <v>13</v>
      </c>
      <c r="AM872" s="14">
        <f>F872*AE872</f>
        <v>0</v>
      </c>
      <c r="AN872" s="14">
        <f>F872*AF872</f>
        <v>0</v>
      </c>
      <c r="AO872" s="15" t="s">
        <v>1695</v>
      </c>
      <c r="AP872" s="15" t="s">
        <v>1744</v>
      </c>
      <c r="AQ872" s="8" t="s">
        <v>1770</v>
      </c>
      <c r="AS872" s="14">
        <f>AM872+AN872</f>
        <v>0</v>
      </c>
      <c r="AT872" s="14">
        <f>G872/(100-AU872)*100</f>
        <v>0</v>
      </c>
      <c r="AU872" s="14">
        <v>0</v>
      </c>
      <c r="AV872" s="14">
        <f>L872</f>
        <v>0.0014372</v>
      </c>
    </row>
    <row r="873" spans="1:13" ht="12.75">
      <c r="A873" s="102"/>
      <c r="B873" s="102"/>
      <c r="C873" s="102"/>
      <c r="D873" s="103" t="s">
        <v>1440</v>
      </c>
      <c r="E873" s="102"/>
      <c r="F873" s="104">
        <v>35.93</v>
      </c>
      <c r="G873" s="102"/>
      <c r="H873" s="102"/>
      <c r="I873" s="102"/>
      <c r="J873" s="102"/>
      <c r="K873" s="102"/>
      <c r="L873" s="102"/>
      <c r="M873" s="102"/>
    </row>
    <row r="874" spans="1:48" ht="12.75">
      <c r="A874" s="99" t="s">
        <v>310</v>
      </c>
      <c r="B874" s="99" t="s">
        <v>407</v>
      </c>
      <c r="C874" s="99" t="s">
        <v>694</v>
      </c>
      <c r="D874" s="99" t="s">
        <v>1485</v>
      </c>
      <c r="E874" s="99" t="s">
        <v>1642</v>
      </c>
      <c r="F874" s="100">
        <v>0.22</v>
      </c>
      <c r="G874" s="100">
        <v>0</v>
      </c>
      <c r="H874" s="100">
        <f>F874*AE874</f>
        <v>0</v>
      </c>
      <c r="I874" s="100">
        <f>J874-H874</f>
        <v>0</v>
      </c>
      <c r="J874" s="100">
        <f>F874*G874</f>
        <v>0</v>
      </c>
      <c r="K874" s="100">
        <v>0</v>
      </c>
      <c r="L874" s="100">
        <f>F874*K874</f>
        <v>0</v>
      </c>
      <c r="M874" s="101" t="s">
        <v>1667</v>
      </c>
      <c r="P874" s="14">
        <f>IF(AG874="5",J874,0)</f>
        <v>0</v>
      </c>
      <c r="R874" s="14">
        <f>IF(AG874="1",H874,0)</f>
        <v>0</v>
      </c>
      <c r="S874" s="14">
        <f>IF(AG874="1",I874,0)</f>
        <v>0</v>
      </c>
      <c r="T874" s="14">
        <f>IF(AG874="7",H874,0)</f>
        <v>0</v>
      </c>
      <c r="U874" s="14">
        <f>IF(AG874="7",I874,0)</f>
        <v>0</v>
      </c>
      <c r="V874" s="14">
        <f>IF(AG874="2",H874,0)</f>
        <v>0</v>
      </c>
      <c r="W874" s="14">
        <f>IF(AG874="2",I874,0)</f>
        <v>0</v>
      </c>
      <c r="X874" s="14">
        <f>IF(AG874="0",J874,0)</f>
        <v>0</v>
      </c>
      <c r="Y874" s="8" t="s">
        <v>407</v>
      </c>
      <c r="Z874" s="5">
        <f>IF(AD874=0,J874,0)</f>
        <v>0</v>
      </c>
      <c r="AA874" s="5">
        <f>IF(AD874=15,J874,0)</f>
        <v>0</v>
      </c>
      <c r="AB874" s="5">
        <f>IF(AD874=21,J874,0)</f>
        <v>0</v>
      </c>
      <c r="AD874" s="14">
        <v>15</v>
      </c>
      <c r="AE874" s="14">
        <f>G874*0</f>
        <v>0</v>
      </c>
      <c r="AF874" s="14">
        <f>G874*(1-0)</f>
        <v>0</v>
      </c>
      <c r="AG874" s="10" t="s">
        <v>11</v>
      </c>
      <c r="AM874" s="14">
        <f>F874*AE874</f>
        <v>0</v>
      </c>
      <c r="AN874" s="14">
        <f>F874*AF874</f>
        <v>0</v>
      </c>
      <c r="AO874" s="15" t="s">
        <v>1695</v>
      </c>
      <c r="AP874" s="15" t="s">
        <v>1744</v>
      </c>
      <c r="AQ874" s="8" t="s">
        <v>1770</v>
      </c>
      <c r="AS874" s="14">
        <f>AM874+AN874</f>
        <v>0</v>
      </c>
      <c r="AT874" s="14">
        <f>G874/(100-AU874)*100</f>
        <v>0</v>
      </c>
      <c r="AU874" s="14">
        <v>0</v>
      </c>
      <c r="AV874" s="14">
        <f>L874</f>
        <v>0</v>
      </c>
    </row>
    <row r="875" spans="1:37" ht="12.75">
      <c r="A875" s="93"/>
      <c r="B875" s="94" t="s">
        <v>407</v>
      </c>
      <c r="C875" s="94" t="s">
        <v>506</v>
      </c>
      <c r="D875" s="95" t="s">
        <v>1072</v>
      </c>
      <c r="E875" s="96"/>
      <c r="F875" s="96"/>
      <c r="G875" s="96"/>
      <c r="H875" s="97">
        <f>SUM(H876:H880)</f>
        <v>0</v>
      </c>
      <c r="I875" s="97">
        <f>SUM(I876:I880)</f>
        <v>0</v>
      </c>
      <c r="J875" s="97">
        <f>H875+I875</f>
        <v>0</v>
      </c>
      <c r="K875" s="98"/>
      <c r="L875" s="97">
        <f>SUM(L876:L880)</f>
        <v>0.0778569</v>
      </c>
      <c r="M875" s="98"/>
      <c r="Y875" s="8" t="s">
        <v>407</v>
      </c>
      <c r="AI875" s="16">
        <f>SUM(Z876:Z880)</f>
        <v>0</v>
      </c>
      <c r="AJ875" s="16">
        <f>SUM(AA876:AA880)</f>
        <v>0</v>
      </c>
      <c r="AK875" s="16">
        <f>SUM(AB876:AB880)</f>
        <v>0</v>
      </c>
    </row>
    <row r="876" spans="1:48" ht="12.75">
      <c r="A876" s="99" t="s">
        <v>311</v>
      </c>
      <c r="B876" s="99" t="s">
        <v>407</v>
      </c>
      <c r="C876" s="99" t="s">
        <v>519</v>
      </c>
      <c r="D876" s="99" t="s">
        <v>1486</v>
      </c>
      <c r="E876" s="99" t="s">
        <v>1640</v>
      </c>
      <c r="F876" s="100">
        <v>35.93</v>
      </c>
      <c r="G876" s="100">
        <v>0</v>
      </c>
      <c r="H876" s="100">
        <f>F876*AE876</f>
        <v>0</v>
      </c>
      <c r="I876" s="100">
        <f>J876-H876</f>
        <v>0</v>
      </c>
      <c r="J876" s="100">
        <f>F876*G876</f>
        <v>0</v>
      </c>
      <c r="K876" s="100">
        <v>0.00033</v>
      </c>
      <c r="L876" s="100">
        <f>F876*K876</f>
        <v>0.0118569</v>
      </c>
      <c r="M876" s="101" t="s">
        <v>1667</v>
      </c>
      <c r="P876" s="14">
        <f>IF(AG876="5",J876,0)</f>
        <v>0</v>
      </c>
      <c r="R876" s="14">
        <f>IF(AG876="1",H876,0)</f>
        <v>0</v>
      </c>
      <c r="S876" s="14">
        <f>IF(AG876="1",I876,0)</f>
        <v>0</v>
      </c>
      <c r="T876" s="14">
        <f>IF(AG876="7",H876,0)</f>
        <v>0</v>
      </c>
      <c r="U876" s="14">
        <f>IF(AG876="7",I876,0)</f>
        <v>0</v>
      </c>
      <c r="V876" s="14">
        <f>IF(AG876="2",H876,0)</f>
        <v>0</v>
      </c>
      <c r="W876" s="14">
        <f>IF(AG876="2",I876,0)</f>
        <v>0</v>
      </c>
      <c r="X876" s="14">
        <f>IF(AG876="0",J876,0)</f>
        <v>0</v>
      </c>
      <c r="Y876" s="8" t="s">
        <v>407</v>
      </c>
      <c r="Z876" s="5">
        <f>IF(AD876=0,J876,0)</f>
        <v>0</v>
      </c>
      <c r="AA876" s="5">
        <f>IF(AD876=15,J876,0)</f>
        <v>0</v>
      </c>
      <c r="AB876" s="5">
        <f>IF(AD876=21,J876,0)</f>
        <v>0</v>
      </c>
      <c r="AD876" s="14">
        <v>15</v>
      </c>
      <c r="AE876" s="14">
        <f>G876*0.430251256281407</f>
        <v>0</v>
      </c>
      <c r="AF876" s="14">
        <f>G876*(1-0.430251256281407)</f>
        <v>0</v>
      </c>
      <c r="AG876" s="10" t="s">
        <v>13</v>
      </c>
      <c r="AM876" s="14">
        <f>F876*AE876</f>
        <v>0</v>
      </c>
      <c r="AN876" s="14">
        <f>F876*AF876</f>
        <v>0</v>
      </c>
      <c r="AO876" s="15" t="s">
        <v>1696</v>
      </c>
      <c r="AP876" s="15" t="s">
        <v>1744</v>
      </c>
      <c r="AQ876" s="8" t="s">
        <v>1770</v>
      </c>
      <c r="AS876" s="14">
        <f>AM876+AN876</f>
        <v>0</v>
      </c>
      <c r="AT876" s="14">
        <f>G876/(100-AU876)*100</f>
        <v>0</v>
      </c>
      <c r="AU876" s="14">
        <v>0</v>
      </c>
      <c r="AV876" s="14">
        <f>L876</f>
        <v>0.0118569</v>
      </c>
    </row>
    <row r="877" spans="1:13" ht="12.75">
      <c r="A877" s="102"/>
      <c r="B877" s="102"/>
      <c r="C877" s="102"/>
      <c r="D877" s="103" t="s">
        <v>1487</v>
      </c>
      <c r="E877" s="102"/>
      <c r="F877" s="104">
        <v>35.93</v>
      </c>
      <c r="G877" s="102"/>
      <c r="H877" s="102"/>
      <c r="I877" s="102"/>
      <c r="J877" s="102"/>
      <c r="K877" s="102"/>
      <c r="L877" s="102"/>
      <c r="M877" s="102"/>
    </row>
    <row r="878" spans="1:48" ht="12.75">
      <c r="A878" s="105" t="s">
        <v>312</v>
      </c>
      <c r="B878" s="105" t="s">
        <v>407</v>
      </c>
      <c r="C878" s="105" t="s">
        <v>520</v>
      </c>
      <c r="D878" s="105" t="s">
        <v>1096</v>
      </c>
      <c r="E878" s="105" t="s">
        <v>1639</v>
      </c>
      <c r="F878" s="106">
        <v>2.64</v>
      </c>
      <c r="G878" s="106">
        <v>0</v>
      </c>
      <c r="H878" s="106">
        <f>F878*AE878</f>
        <v>0</v>
      </c>
      <c r="I878" s="106">
        <f>J878-H878</f>
        <v>0</v>
      </c>
      <c r="J878" s="106">
        <f>F878*G878</f>
        <v>0</v>
      </c>
      <c r="K878" s="106">
        <v>0.025</v>
      </c>
      <c r="L878" s="106">
        <f>F878*K878</f>
        <v>0.066</v>
      </c>
      <c r="M878" s="107" t="s">
        <v>1667</v>
      </c>
      <c r="P878" s="14">
        <f>IF(AG878="5",J878,0)</f>
        <v>0</v>
      </c>
      <c r="R878" s="14">
        <f>IF(AG878="1",H878,0)</f>
        <v>0</v>
      </c>
      <c r="S878" s="14">
        <f>IF(AG878="1",I878,0)</f>
        <v>0</v>
      </c>
      <c r="T878" s="14">
        <f>IF(AG878="7",H878,0)</f>
        <v>0</v>
      </c>
      <c r="U878" s="14">
        <f>IF(AG878="7",I878,0)</f>
        <v>0</v>
      </c>
      <c r="V878" s="14">
        <f>IF(AG878="2",H878,0)</f>
        <v>0</v>
      </c>
      <c r="W878" s="14">
        <f>IF(AG878="2",I878,0)</f>
        <v>0</v>
      </c>
      <c r="X878" s="14">
        <f>IF(AG878="0",J878,0)</f>
        <v>0</v>
      </c>
      <c r="Y878" s="8" t="s">
        <v>407</v>
      </c>
      <c r="Z878" s="6">
        <f>IF(AD878=0,J878,0)</f>
        <v>0</v>
      </c>
      <c r="AA878" s="6">
        <f>IF(AD878=15,J878,0)</f>
        <v>0</v>
      </c>
      <c r="AB878" s="6">
        <f>IF(AD878=21,J878,0)</f>
        <v>0</v>
      </c>
      <c r="AD878" s="14">
        <v>15</v>
      </c>
      <c r="AE878" s="14">
        <f>G878*1</f>
        <v>0</v>
      </c>
      <c r="AF878" s="14">
        <f>G878*(1-1)</f>
        <v>0</v>
      </c>
      <c r="AG878" s="11" t="s">
        <v>13</v>
      </c>
      <c r="AM878" s="14">
        <f>F878*AE878</f>
        <v>0</v>
      </c>
      <c r="AN878" s="14">
        <f>F878*AF878</f>
        <v>0</v>
      </c>
      <c r="AO878" s="15" t="s">
        <v>1696</v>
      </c>
      <c r="AP878" s="15" t="s">
        <v>1744</v>
      </c>
      <c r="AQ878" s="8" t="s">
        <v>1770</v>
      </c>
      <c r="AS878" s="14">
        <f>AM878+AN878</f>
        <v>0</v>
      </c>
      <c r="AT878" s="14">
        <f>G878/(100-AU878)*100</f>
        <v>0</v>
      </c>
      <c r="AU878" s="14">
        <v>0</v>
      </c>
      <c r="AV878" s="14">
        <f>L878</f>
        <v>0.066</v>
      </c>
    </row>
    <row r="879" spans="1:13" ht="12.75">
      <c r="A879" s="102"/>
      <c r="B879" s="102"/>
      <c r="C879" s="102"/>
      <c r="D879" s="103" t="s">
        <v>1488</v>
      </c>
      <c r="E879" s="102"/>
      <c r="F879" s="104">
        <v>2.64</v>
      </c>
      <c r="G879" s="102"/>
      <c r="H879" s="102"/>
      <c r="I879" s="102"/>
      <c r="J879" s="102"/>
      <c r="K879" s="102"/>
      <c r="L879" s="102"/>
      <c r="M879" s="102"/>
    </row>
    <row r="880" spans="1:48" ht="12.75">
      <c r="A880" s="99" t="s">
        <v>313</v>
      </c>
      <c r="B880" s="99" t="s">
        <v>407</v>
      </c>
      <c r="C880" s="99" t="s">
        <v>695</v>
      </c>
      <c r="D880" s="99" t="s">
        <v>1489</v>
      </c>
      <c r="E880" s="99" t="s">
        <v>1642</v>
      </c>
      <c r="F880" s="100">
        <v>0.08</v>
      </c>
      <c r="G880" s="100">
        <v>0</v>
      </c>
      <c r="H880" s="100">
        <f>F880*AE880</f>
        <v>0</v>
      </c>
      <c r="I880" s="100">
        <f>J880-H880</f>
        <v>0</v>
      </c>
      <c r="J880" s="100">
        <f>F880*G880</f>
        <v>0</v>
      </c>
      <c r="K880" s="100">
        <v>0</v>
      </c>
      <c r="L880" s="100">
        <f>F880*K880</f>
        <v>0</v>
      </c>
      <c r="M880" s="101" t="s">
        <v>1667</v>
      </c>
      <c r="P880" s="14">
        <f>IF(AG880="5",J880,0)</f>
        <v>0</v>
      </c>
      <c r="R880" s="14">
        <f>IF(AG880="1",H880,0)</f>
        <v>0</v>
      </c>
      <c r="S880" s="14">
        <f>IF(AG880="1",I880,0)</f>
        <v>0</v>
      </c>
      <c r="T880" s="14">
        <f>IF(AG880="7",H880,0)</f>
        <v>0</v>
      </c>
      <c r="U880" s="14">
        <f>IF(AG880="7",I880,0)</f>
        <v>0</v>
      </c>
      <c r="V880" s="14">
        <f>IF(AG880="2",H880,0)</f>
        <v>0</v>
      </c>
      <c r="W880" s="14">
        <f>IF(AG880="2",I880,0)</f>
        <v>0</v>
      </c>
      <c r="X880" s="14">
        <f>IF(AG880="0",J880,0)</f>
        <v>0</v>
      </c>
      <c r="Y880" s="8" t="s">
        <v>407</v>
      </c>
      <c r="Z880" s="5">
        <f>IF(AD880=0,J880,0)</f>
        <v>0</v>
      </c>
      <c r="AA880" s="5">
        <f>IF(AD880=15,J880,0)</f>
        <v>0</v>
      </c>
      <c r="AB880" s="5">
        <f>IF(AD880=21,J880,0)</f>
        <v>0</v>
      </c>
      <c r="AD880" s="14">
        <v>15</v>
      </c>
      <c r="AE880" s="14">
        <f>G880*0</f>
        <v>0</v>
      </c>
      <c r="AF880" s="14">
        <f>G880*(1-0)</f>
        <v>0</v>
      </c>
      <c r="AG880" s="10" t="s">
        <v>11</v>
      </c>
      <c r="AM880" s="14">
        <f>F880*AE880</f>
        <v>0</v>
      </c>
      <c r="AN880" s="14">
        <f>F880*AF880</f>
        <v>0</v>
      </c>
      <c r="AO880" s="15" t="s">
        <v>1696</v>
      </c>
      <c r="AP880" s="15" t="s">
        <v>1744</v>
      </c>
      <c r="AQ880" s="8" t="s">
        <v>1770</v>
      </c>
      <c r="AS880" s="14">
        <f>AM880+AN880</f>
        <v>0</v>
      </c>
      <c r="AT880" s="14">
        <f>G880/(100-AU880)*100</f>
        <v>0</v>
      </c>
      <c r="AU880" s="14">
        <v>0</v>
      </c>
      <c r="AV880" s="14">
        <f>L880</f>
        <v>0</v>
      </c>
    </row>
    <row r="881" spans="1:37" ht="12.75">
      <c r="A881" s="93"/>
      <c r="B881" s="94" t="s">
        <v>407</v>
      </c>
      <c r="C881" s="94" t="s">
        <v>81</v>
      </c>
      <c r="D881" s="95" t="s">
        <v>1108</v>
      </c>
      <c r="E881" s="96"/>
      <c r="F881" s="96"/>
      <c r="G881" s="96"/>
      <c r="H881" s="97">
        <f>SUM(H882:H882)</f>
        <v>0</v>
      </c>
      <c r="I881" s="97">
        <f>SUM(I882:I882)</f>
        <v>0</v>
      </c>
      <c r="J881" s="97">
        <f>H881+I881</f>
        <v>0</v>
      </c>
      <c r="K881" s="98"/>
      <c r="L881" s="97">
        <f>SUM(L882:L882)</f>
        <v>0</v>
      </c>
      <c r="M881" s="98"/>
      <c r="Y881" s="8" t="s">
        <v>407</v>
      </c>
      <c r="AI881" s="16">
        <f>SUM(Z882:Z882)</f>
        <v>0</v>
      </c>
      <c r="AJ881" s="16">
        <f>SUM(AA882:AA882)</f>
        <v>0</v>
      </c>
      <c r="AK881" s="16">
        <f>SUM(AB882:AB882)</f>
        <v>0</v>
      </c>
    </row>
    <row r="882" spans="1:48" ht="12.75">
      <c r="A882" s="99" t="s">
        <v>314</v>
      </c>
      <c r="B882" s="99" t="s">
        <v>407</v>
      </c>
      <c r="C882" s="99" t="s">
        <v>530</v>
      </c>
      <c r="D882" s="99" t="s">
        <v>1109</v>
      </c>
      <c r="E882" s="99" t="s">
        <v>1645</v>
      </c>
      <c r="F882" s="100">
        <v>1</v>
      </c>
      <c r="G882" s="100">
        <v>0</v>
      </c>
      <c r="H882" s="100">
        <f>F882*AE882</f>
        <v>0</v>
      </c>
      <c r="I882" s="100">
        <f>J882-H882</f>
        <v>0</v>
      </c>
      <c r="J882" s="100">
        <f>F882*G882</f>
        <v>0</v>
      </c>
      <c r="K882" s="100">
        <v>0</v>
      </c>
      <c r="L882" s="100">
        <f>F882*K882</f>
        <v>0</v>
      </c>
      <c r="M882" s="101" t="s">
        <v>1669</v>
      </c>
      <c r="P882" s="14">
        <f>IF(AG882="5",J882,0)</f>
        <v>0</v>
      </c>
      <c r="R882" s="14">
        <f>IF(AG882="1",H882,0)</f>
        <v>0</v>
      </c>
      <c r="S882" s="14">
        <f>IF(AG882="1",I882,0)</f>
        <v>0</v>
      </c>
      <c r="T882" s="14">
        <f>IF(AG882="7",H882,0)</f>
        <v>0</v>
      </c>
      <c r="U882" s="14">
        <f>IF(AG882="7",I882,0)</f>
        <v>0</v>
      </c>
      <c r="V882" s="14">
        <f>IF(AG882="2",H882,0)</f>
        <v>0</v>
      </c>
      <c r="W882" s="14">
        <f>IF(AG882="2",I882,0)</f>
        <v>0</v>
      </c>
      <c r="X882" s="14">
        <f>IF(AG882="0",J882,0)</f>
        <v>0</v>
      </c>
      <c r="Y882" s="8" t="s">
        <v>407</v>
      </c>
      <c r="Z882" s="5">
        <f>IF(AD882=0,J882,0)</f>
        <v>0</v>
      </c>
      <c r="AA882" s="5">
        <f>IF(AD882=15,J882,0)</f>
        <v>0</v>
      </c>
      <c r="AB882" s="5">
        <f>IF(AD882=21,J882,0)</f>
        <v>0</v>
      </c>
      <c r="AD882" s="14">
        <v>15</v>
      </c>
      <c r="AE882" s="14">
        <f>G882*0</f>
        <v>0</v>
      </c>
      <c r="AF882" s="14">
        <f>G882*(1-0)</f>
        <v>0</v>
      </c>
      <c r="AG882" s="10" t="s">
        <v>13</v>
      </c>
      <c r="AM882" s="14">
        <f>F882*AE882</f>
        <v>0</v>
      </c>
      <c r="AN882" s="14">
        <f>F882*AF882</f>
        <v>0</v>
      </c>
      <c r="AO882" s="15" t="s">
        <v>1700</v>
      </c>
      <c r="AP882" s="15" t="s">
        <v>1745</v>
      </c>
      <c r="AQ882" s="8" t="s">
        <v>1770</v>
      </c>
      <c r="AS882" s="14">
        <f>AM882+AN882</f>
        <v>0</v>
      </c>
      <c r="AT882" s="14">
        <f>G882/(100-AU882)*100</f>
        <v>0</v>
      </c>
      <c r="AU882" s="14">
        <v>0</v>
      </c>
      <c r="AV882" s="14">
        <f>L882</f>
        <v>0</v>
      </c>
    </row>
    <row r="883" spans="1:37" ht="12.75">
      <c r="A883" s="93"/>
      <c r="B883" s="94" t="s">
        <v>407</v>
      </c>
      <c r="C883" s="94" t="s">
        <v>532</v>
      </c>
      <c r="D883" s="95" t="s">
        <v>1111</v>
      </c>
      <c r="E883" s="96"/>
      <c r="F883" s="96"/>
      <c r="G883" s="96"/>
      <c r="H883" s="97">
        <f>SUM(H884:H884)</f>
        <v>0</v>
      </c>
      <c r="I883" s="97">
        <f>SUM(I884:I884)</f>
        <v>0</v>
      </c>
      <c r="J883" s="97">
        <f>H883+I883</f>
        <v>0</v>
      </c>
      <c r="K883" s="98"/>
      <c r="L883" s="97">
        <f>SUM(L884:L884)</f>
        <v>0.0738054</v>
      </c>
      <c r="M883" s="98"/>
      <c r="Y883" s="8" t="s">
        <v>407</v>
      </c>
      <c r="AI883" s="16">
        <f>SUM(Z884:Z884)</f>
        <v>0</v>
      </c>
      <c r="AJ883" s="16">
        <f>SUM(AA884:AA884)</f>
        <v>0</v>
      </c>
      <c r="AK883" s="16">
        <f>SUM(AB884:AB884)</f>
        <v>0</v>
      </c>
    </row>
    <row r="884" spans="1:48" ht="12.75">
      <c r="A884" s="99" t="s">
        <v>315</v>
      </c>
      <c r="B884" s="99" t="s">
        <v>407</v>
      </c>
      <c r="C884" s="99" t="s">
        <v>696</v>
      </c>
      <c r="D884" s="99" t="s">
        <v>1490</v>
      </c>
      <c r="E884" s="99" t="s">
        <v>1640</v>
      </c>
      <c r="F884" s="100">
        <v>6.26</v>
      </c>
      <c r="G884" s="100">
        <v>0</v>
      </c>
      <c r="H884" s="100">
        <f>F884*AE884</f>
        <v>0</v>
      </c>
      <c r="I884" s="100">
        <f>J884-H884</f>
        <v>0</v>
      </c>
      <c r="J884" s="100">
        <f>F884*G884</f>
        <v>0</v>
      </c>
      <c r="K884" s="100">
        <v>0.01179</v>
      </c>
      <c r="L884" s="100">
        <f>F884*K884</f>
        <v>0.0738054</v>
      </c>
      <c r="M884" s="101" t="s">
        <v>1667</v>
      </c>
      <c r="P884" s="14">
        <f>IF(AG884="5",J884,0)</f>
        <v>0</v>
      </c>
      <c r="R884" s="14">
        <f>IF(AG884="1",H884,0)</f>
        <v>0</v>
      </c>
      <c r="S884" s="14">
        <f>IF(AG884="1",I884,0)</f>
        <v>0</v>
      </c>
      <c r="T884" s="14">
        <f>IF(AG884="7",H884,0)</f>
        <v>0</v>
      </c>
      <c r="U884" s="14">
        <f>IF(AG884="7",I884,0)</f>
        <v>0</v>
      </c>
      <c r="V884" s="14">
        <f>IF(AG884="2",H884,0)</f>
        <v>0</v>
      </c>
      <c r="W884" s="14">
        <f>IF(AG884="2",I884,0)</f>
        <v>0</v>
      </c>
      <c r="X884" s="14">
        <f>IF(AG884="0",J884,0)</f>
        <v>0</v>
      </c>
      <c r="Y884" s="8" t="s">
        <v>407</v>
      </c>
      <c r="Z884" s="5">
        <f>IF(AD884=0,J884,0)</f>
        <v>0</v>
      </c>
      <c r="AA884" s="5">
        <f>IF(AD884=15,J884,0)</f>
        <v>0</v>
      </c>
      <c r="AB884" s="5">
        <f>IF(AD884=21,J884,0)</f>
        <v>0</v>
      </c>
      <c r="AD884" s="14">
        <v>15</v>
      </c>
      <c r="AE884" s="14">
        <f>G884*0.509877675840979</f>
        <v>0</v>
      </c>
      <c r="AF884" s="14">
        <f>G884*(1-0.509877675840979)</f>
        <v>0</v>
      </c>
      <c r="AG884" s="10" t="s">
        <v>13</v>
      </c>
      <c r="AM884" s="14">
        <f>F884*AE884</f>
        <v>0</v>
      </c>
      <c r="AN884" s="14">
        <f>F884*AF884</f>
        <v>0</v>
      </c>
      <c r="AO884" s="15" t="s">
        <v>1701</v>
      </c>
      <c r="AP884" s="15" t="s">
        <v>1746</v>
      </c>
      <c r="AQ884" s="8" t="s">
        <v>1770</v>
      </c>
      <c r="AS884" s="14">
        <f>AM884+AN884</f>
        <v>0</v>
      </c>
      <c r="AT884" s="14">
        <f>G884/(100-AU884)*100</f>
        <v>0</v>
      </c>
      <c r="AU884" s="14">
        <v>0</v>
      </c>
      <c r="AV884" s="14">
        <f>L884</f>
        <v>0.0738054</v>
      </c>
    </row>
    <row r="885" spans="1:13" ht="12.75">
      <c r="A885" s="102"/>
      <c r="B885" s="102"/>
      <c r="C885" s="102"/>
      <c r="D885" s="103" t="s">
        <v>1491</v>
      </c>
      <c r="E885" s="102"/>
      <c r="F885" s="104">
        <v>6.26</v>
      </c>
      <c r="G885" s="102"/>
      <c r="H885" s="102"/>
      <c r="I885" s="102"/>
      <c r="J885" s="102"/>
      <c r="K885" s="102"/>
      <c r="L885" s="102"/>
      <c r="M885" s="102"/>
    </row>
    <row r="886" spans="1:37" ht="12.75">
      <c r="A886" s="93"/>
      <c r="B886" s="94" t="s">
        <v>407</v>
      </c>
      <c r="C886" s="94" t="s">
        <v>560</v>
      </c>
      <c r="D886" s="95" t="s">
        <v>1174</v>
      </c>
      <c r="E886" s="96"/>
      <c r="F886" s="96"/>
      <c r="G886" s="96"/>
      <c r="H886" s="97">
        <f>SUM(H887:H887)</f>
        <v>0</v>
      </c>
      <c r="I886" s="97">
        <f>SUM(I887:I887)</f>
        <v>0</v>
      </c>
      <c r="J886" s="97">
        <f>H886+I886</f>
        <v>0</v>
      </c>
      <c r="K886" s="98"/>
      <c r="L886" s="97">
        <f>SUM(L887:L887)</f>
        <v>0.00213</v>
      </c>
      <c r="M886" s="98"/>
      <c r="Y886" s="8" t="s">
        <v>407</v>
      </c>
      <c r="AI886" s="16">
        <f>SUM(Z887:Z887)</f>
        <v>0</v>
      </c>
      <c r="AJ886" s="16">
        <f>SUM(AA887:AA887)</f>
        <v>0</v>
      </c>
      <c r="AK886" s="16">
        <f>SUM(AB887:AB887)</f>
        <v>0</v>
      </c>
    </row>
    <row r="887" spans="1:48" ht="12.75">
      <c r="A887" s="99" t="s">
        <v>316</v>
      </c>
      <c r="B887" s="99" t="s">
        <v>407</v>
      </c>
      <c r="C887" s="99" t="s">
        <v>697</v>
      </c>
      <c r="D887" s="99" t="s">
        <v>1492</v>
      </c>
      <c r="E887" s="99" t="s">
        <v>1643</v>
      </c>
      <c r="F887" s="100">
        <v>1.5</v>
      </c>
      <c r="G887" s="100">
        <v>0</v>
      </c>
      <c r="H887" s="100">
        <f>F887*AE887</f>
        <v>0</v>
      </c>
      <c r="I887" s="100">
        <f>J887-H887</f>
        <v>0</v>
      </c>
      <c r="J887" s="100">
        <f>F887*G887</f>
        <v>0</v>
      </c>
      <c r="K887" s="100">
        <v>0.00142</v>
      </c>
      <c r="L887" s="100">
        <f>F887*K887</f>
        <v>0.00213</v>
      </c>
      <c r="M887" s="101" t="s">
        <v>1667</v>
      </c>
      <c r="P887" s="14">
        <f>IF(AG887="5",J887,0)</f>
        <v>0</v>
      </c>
      <c r="R887" s="14">
        <f>IF(AG887="1",H887,0)</f>
        <v>0</v>
      </c>
      <c r="S887" s="14">
        <f>IF(AG887="1",I887,0)</f>
        <v>0</v>
      </c>
      <c r="T887" s="14">
        <f>IF(AG887="7",H887,0)</f>
        <v>0</v>
      </c>
      <c r="U887" s="14">
        <f>IF(AG887="7",I887,0)</f>
        <v>0</v>
      </c>
      <c r="V887" s="14">
        <f>IF(AG887="2",H887,0)</f>
        <v>0</v>
      </c>
      <c r="W887" s="14">
        <f>IF(AG887="2",I887,0)</f>
        <v>0</v>
      </c>
      <c r="X887" s="14">
        <f>IF(AG887="0",J887,0)</f>
        <v>0</v>
      </c>
      <c r="Y887" s="8" t="s">
        <v>407</v>
      </c>
      <c r="Z887" s="5">
        <f>IF(AD887=0,J887,0)</f>
        <v>0</v>
      </c>
      <c r="AA887" s="5">
        <f>IF(AD887=15,J887,0)</f>
        <v>0</v>
      </c>
      <c r="AB887" s="5">
        <f>IF(AD887=21,J887,0)</f>
        <v>0</v>
      </c>
      <c r="AD887" s="14">
        <v>15</v>
      </c>
      <c r="AE887" s="14">
        <f>G887*0.300688018979834</f>
        <v>0</v>
      </c>
      <c r="AF887" s="14">
        <f>G887*(1-0.300688018979834)</f>
        <v>0</v>
      </c>
      <c r="AG887" s="10" t="s">
        <v>13</v>
      </c>
      <c r="AM887" s="14">
        <f>F887*AE887</f>
        <v>0</v>
      </c>
      <c r="AN887" s="14">
        <f>F887*AF887</f>
        <v>0</v>
      </c>
      <c r="AO887" s="15" t="s">
        <v>1702</v>
      </c>
      <c r="AP887" s="15" t="s">
        <v>1746</v>
      </c>
      <c r="AQ887" s="8" t="s">
        <v>1770</v>
      </c>
      <c r="AS887" s="14">
        <f>AM887+AN887</f>
        <v>0</v>
      </c>
      <c r="AT887" s="14">
        <f>G887/(100-AU887)*100</f>
        <v>0</v>
      </c>
      <c r="AU887" s="14">
        <v>0</v>
      </c>
      <c r="AV887" s="14">
        <f>L887</f>
        <v>0.00213</v>
      </c>
    </row>
    <row r="888" spans="1:13" ht="12.75">
      <c r="A888" s="102"/>
      <c r="B888" s="102"/>
      <c r="C888" s="102"/>
      <c r="D888" s="103" t="s">
        <v>1493</v>
      </c>
      <c r="E888" s="102"/>
      <c r="F888" s="104">
        <v>1.5</v>
      </c>
      <c r="G888" s="102"/>
      <c r="H888" s="102"/>
      <c r="I888" s="102"/>
      <c r="J888" s="102"/>
      <c r="K888" s="102"/>
      <c r="L888" s="102"/>
      <c r="M888" s="102"/>
    </row>
    <row r="889" spans="1:37" ht="12.75">
      <c r="A889" s="93"/>
      <c r="B889" s="94" t="s">
        <v>407</v>
      </c>
      <c r="C889" s="94" t="s">
        <v>586</v>
      </c>
      <c r="D889" s="95" t="s">
        <v>1207</v>
      </c>
      <c r="E889" s="96"/>
      <c r="F889" s="96"/>
      <c r="G889" s="96"/>
      <c r="H889" s="97">
        <f>SUM(H890:H899)</f>
        <v>0</v>
      </c>
      <c r="I889" s="97">
        <f>SUM(I890:I899)</f>
        <v>0</v>
      </c>
      <c r="J889" s="97">
        <f>H889+I889</f>
        <v>0</v>
      </c>
      <c r="K889" s="98"/>
      <c r="L889" s="97">
        <f>SUM(L890:L899)</f>
        <v>0.7352406</v>
      </c>
      <c r="M889" s="98"/>
      <c r="Y889" s="8" t="s">
        <v>407</v>
      </c>
      <c r="AI889" s="16">
        <f>SUM(Z890:Z899)</f>
        <v>0</v>
      </c>
      <c r="AJ889" s="16">
        <f>SUM(AA890:AA899)</f>
        <v>0</v>
      </c>
      <c r="AK889" s="16">
        <f>SUM(AB890:AB899)</f>
        <v>0</v>
      </c>
    </row>
    <row r="890" spans="1:48" ht="12.75">
      <c r="A890" s="99" t="s">
        <v>317</v>
      </c>
      <c r="B890" s="99" t="s">
        <v>407</v>
      </c>
      <c r="C890" s="99" t="s">
        <v>698</v>
      </c>
      <c r="D890" s="99" t="s">
        <v>1494</v>
      </c>
      <c r="E890" s="99" t="s">
        <v>1644</v>
      </c>
      <c r="F890" s="100">
        <v>1</v>
      </c>
      <c r="G890" s="100">
        <v>0</v>
      </c>
      <c r="H890" s="100">
        <f>F890*AE890</f>
        <v>0</v>
      </c>
      <c r="I890" s="100">
        <f>J890-H890</f>
        <v>0</v>
      </c>
      <c r="J890" s="100">
        <f>F890*G890</f>
        <v>0</v>
      </c>
      <c r="K890" s="100">
        <v>0</v>
      </c>
      <c r="L890" s="100">
        <f>F890*K890</f>
        <v>0</v>
      </c>
      <c r="M890" s="101" t="s">
        <v>1668</v>
      </c>
      <c r="P890" s="14">
        <f>IF(AG890="5",J890,0)</f>
        <v>0</v>
      </c>
      <c r="R890" s="14">
        <f>IF(AG890="1",H890,0)</f>
        <v>0</v>
      </c>
      <c r="S890" s="14">
        <f>IF(AG890="1",I890,0)</f>
        <v>0</v>
      </c>
      <c r="T890" s="14">
        <f>IF(AG890="7",H890,0)</f>
        <v>0</v>
      </c>
      <c r="U890" s="14">
        <f>IF(AG890="7",I890,0)</f>
        <v>0</v>
      </c>
      <c r="V890" s="14">
        <f>IF(AG890="2",H890,0)</f>
        <v>0</v>
      </c>
      <c r="W890" s="14">
        <f>IF(AG890="2",I890,0)</f>
        <v>0</v>
      </c>
      <c r="X890" s="14">
        <f>IF(AG890="0",J890,0)</f>
        <v>0</v>
      </c>
      <c r="Y890" s="8" t="s">
        <v>407</v>
      </c>
      <c r="Z890" s="5">
        <f>IF(AD890=0,J890,0)</f>
        <v>0</v>
      </c>
      <c r="AA890" s="5">
        <f>IF(AD890=15,J890,0)</f>
        <v>0</v>
      </c>
      <c r="AB890" s="5">
        <f>IF(AD890=21,J890,0)</f>
        <v>0</v>
      </c>
      <c r="AD890" s="14">
        <v>15</v>
      </c>
      <c r="AE890" s="14">
        <f>G890*0</f>
        <v>0</v>
      </c>
      <c r="AF890" s="14">
        <f>G890*(1-0)</f>
        <v>0</v>
      </c>
      <c r="AG890" s="10" t="s">
        <v>13</v>
      </c>
      <c r="AM890" s="14">
        <f>F890*AE890</f>
        <v>0</v>
      </c>
      <c r="AN890" s="14">
        <f>F890*AF890</f>
        <v>0</v>
      </c>
      <c r="AO890" s="15" t="s">
        <v>1704</v>
      </c>
      <c r="AP890" s="15" t="s">
        <v>1746</v>
      </c>
      <c r="AQ890" s="8" t="s">
        <v>1770</v>
      </c>
      <c r="AS890" s="14">
        <f>AM890+AN890</f>
        <v>0</v>
      </c>
      <c r="AT890" s="14">
        <f>G890/(100-AU890)*100</f>
        <v>0</v>
      </c>
      <c r="AU890" s="14">
        <v>0</v>
      </c>
      <c r="AV890" s="14">
        <f>L890</f>
        <v>0</v>
      </c>
    </row>
    <row r="891" spans="1:48" ht="12.75">
      <c r="A891" s="99" t="s">
        <v>318</v>
      </c>
      <c r="B891" s="99" t="s">
        <v>407</v>
      </c>
      <c r="C891" s="99" t="s">
        <v>613</v>
      </c>
      <c r="D891" s="99" t="s">
        <v>1241</v>
      </c>
      <c r="E891" s="99" t="s">
        <v>1640</v>
      </c>
      <c r="F891" s="100">
        <v>55.22</v>
      </c>
      <c r="G891" s="100">
        <v>0</v>
      </c>
      <c r="H891" s="100">
        <f>F891*AE891</f>
        <v>0</v>
      </c>
      <c r="I891" s="100">
        <f>J891-H891</f>
        <v>0</v>
      </c>
      <c r="J891" s="100">
        <f>F891*G891</f>
        <v>0</v>
      </c>
      <c r="K891" s="100">
        <v>0.01223</v>
      </c>
      <c r="L891" s="100">
        <f>F891*K891</f>
        <v>0.6753406</v>
      </c>
      <c r="M891" s="101" t="s">
        <v>1667</v>
      </c>
      <c r="P891" s="14">
        <f>IF(AG891="5",J891,0)</f>
        <v>0</v>
      </c>
      <c r="R891" s="14">
        <f>IF(AG891="1",H891,0)</f>
        <v>0</v>
      </c>
      <c r="S891" s="14">
        <f>IF(AG891="1",I891,0)</f>
        <v>0</v>
      </c>
      <c r="T891" s="14">
        <f>IF(AG891="7",H891,0)</f>
        <v>0</v>
      </c>
      <c r="U891" s="14">
        <f>IF(AG891="7",I891,0)</f>
        <v>0</v>
      </c>
      <c r="V891" s="14">
        <f>IF(AG891="2",H891,0)</f>
        <v>0</v>
      </c>
      <c r="W891" s="14">
        <f>IF(AG891="2",I891,0)</f>
        <v>0</v>
      </c>
      <c r="X891" s="14">
        <f>IF(AG891="0",J891,0)</f>
        <v>0</v>
      </c>
      <c r="Y891" s="8" t="s">
        <v>407</v>
      </c>
      <c r="Z891" s="5">
        <f>IF(AD891=0,J891,0)</f>
        <v>0</v>
      </c>
      <c r="AA891" s="5">
        <f>IF(AD891=15,J891,0)</f>
        <v>0</v>
      </c>
      <c r="AB891" s="5">
        <f>IF(AD891=21,J891,0)</f>
        <v>0</v>
      </c>
      <c r="AD891" s="14">
        <v>15</v>
      </c>
      <c r="AE891" s="14">
        <f>G891*0.39486318517864</f>
        <v>0</v>
      </c>
      <c r="AF891" s="14">
        <f>G891*(1-0.39486318517864)</f>
        <v>0</v>
      </c>
      <c r="AG891" s="10" t="s">
        <v>13</v>
      </c>
      <c r="AM891" s="14">
        <f>F891*AE891</f>
        <v>0</v>
      </c>
      <c r="AN891" s="14">
        <f>F891*AF891</f>
        <v>0</v>
      </c>
      <c r="AO891" s="15" t="s">
        <v>1704</v>
      </c>
      <c r="AP891" s="15" t="s">
        <v>1746</v>
      </c>
      <c r="AQ891" s="8" t="s">
        <v>1770</v>
      </c>
      <c r="AS891" s="14">
        <f>AM891+AN891</f>
        <v>0</v>
      </c>
      <c r="AT891" s="14">
        <f>G891/(100-AU891)*100</f>
        <v>0</v>
      </c>
      <c r="AU891" s="14">
        <v>0</v>
      </c>
      <c r="AV891" s="14">
        <f>L891</f>
        <v>0.6753406</v>
      </c>
    </row>
    <row r="892" spans="1:13" ht="12.75">
      <c r="A892" s="102"/>
      <c r="B892" s="102"/>
      <c r="C892" s="102"/>
      <c r="D892" s="103" t="s">
        <v>1495</v>
      </c>
      <c r="E892" s="102"/>
      <c r="F892" s="104">
        <v>66.16</v>
      </c>
      <c r="G892" s="102"/>
      <c r="H892" s="102"/>
      <c r="I892" s="102"/>
      <c r="J892" s="102"/>
      <c r="K892" s="102"/>
      <c r="L892" s="102"/>
      <c r="M892" s="102"/>
    </row>
    <row r="893" spans="1:13" ht="12.75">
      <c r="A893" s="102"/>
      <c r="B893" s="102"/>
      <c r="C893" s="102"/>
      <c r="D893" s="103" t="s">
        <v>1496</v>
      </c>
      <c r="E893" s="102"/>
      <c r="F893" s="104">
        <v>-7.71</v>
      </c>
      <c r="G893" s="102"/>
      <c r="H893" s="102"/>
      <c r="I893" s="102"/>
      <c r="J893" s="102"/>
      <c r="K893" s="102"/>
      <c r="L893" s="102"/>
      <c r="M893" s="102"/>
    </row>
    <row r="894" spans="1:13" ht="12.75">
      <c r="A894" s="102"/>
      <c r="B894" s="102"/>
      <c r="C894" s="102"/>
      <c r="D894" s="103" t="s">
        <v>1422</v>
      </c>
      <c r="E894" s="102"/>
      <c r="F894" s="104">
        <v>-1.13</v>
      </c>
      <c r="G894" s="102"/>
      <c r="H894" s="102"/>
      <c r="I894" s="102"/>
      <c r="J894" s="102"/>
      <c r="K894" s="102"/>
      <c r="L894" s="102"/>
      <c r="M894" s="102"/>
    </row>
    <row r="895" spans="1:13" ht="12.75">
      <c r="A895" s="102"/>
      <c r="B895" s="102"/>
      <c r="C895" s="102"/>
      <c r="D895" s="103" t="s">
        <v>1497</v>
      </c>
      <c r="E895" s="102"/>
      <c r="F895" s="104">
        <v>-2.1</v>
      </c>
      <c r="G895" s="102"/>
      <c r="H895" s="102"/>
      <c r="I895" s="102"/>
      <c r="J895" s="102"/>
      <c r="K895" s="102"/>
      <c r="L895" s="102"/>
      <c r="M895" s="102"/>
    </row>
    <row r="896" spans="1:48" ht="12.75">
      <c r="A896" s="99" t="s">
        <v>319</v>
      </c>
      <c r="B896" s="99" t="s">
        <v>407</v>
      </c>
      <c r="C896" s="99" t="s">
        <v>595</v>
      </c>
      <c r="D896" s="99" t="s">
        <v>1219</v>
      </c>
      <c r="E896" s="99" t="s">
        <v>1641</v>
      </c>
      <c r="F896" s="100">
        <v>1</v>
      </c>
      <c r="G896" s="100">
        <v>0</v>
      </c>
      <c r="H896" s="100">
        <f>F896*AE896</f>
        <v>0</v>
      </c>
      <c r="I896" s="100">
        <f>J896-H896</f>
        <v>0</v>
      </c>
      <c r="J896" s="100">
        <f>F896*G896</f>
        <v>0</v>
      </c>
      <c r="K896" s="100">
        <v>0.0009</v>
      </c>
      <c r="L896" s="100">
        <f>F896*K896</f>
        <v>0.0009</v>
      </c>
      <c r="M896" s="101" t="s">
        <v>1667</v>
      </c>
      <c r="P896" s="14">
        <f>IF(AG896="5",J896,0)</f>
        <v>0</v>
      </c>
      <c r="R896" s="14">
        <f>IF(AG896="1",H896,0)</f>
        <v>0</v>
      </c>
      <c r="S896" s="14">
        <f>IF(AG896="1",I896,0)</f>
        <v>0</v>
      </c>
      <c r="T896" s="14">
        <f>IF(AG896="7",H896,0)</f>
        <v>0</v>
      </c>
      <c r="U896" s="14">
        <f>IF(AG896="7",I896,0)</f>
        <v>0</v>
      </c>
      <c r="V896" s="14">
        <f>IF(AG896="2",H896,0)</f>
        <v>0</v>
      </c>
      <c r="W896" s="14">
        <f>IF(AG896="2",I896,0)</f>
        <v>0</v>
      </c>
      <c r="X896" s="14">
        <f>IF(AG896="0",J896,0)</f>
        <v>0</v>
      </c>
      <c r="Y896" s="8" t="s">
        <v>407</v>
      </c>
      <c r="Z896" s="5">
        <f>IF(AD896=0,J896,0)</f>
        <v>0</v>
      </c>
      <c r="AA896" s="5">
        <f>IF(AD896=15,J896,0)</f>
        <v>0</v>
      </c>
      <c r="AB896" s="5">
        <f>IF(AD896=21,J896,0)</f>
        <v>0</v>
      </c>
      <c r="AD896" s="14">
        <v>15</v>
      </c>
      <c r="AE896" s="14">
        <f>G896*0.107455156950673</f>
        <v>0</v>
      </c>
      <c r="AF896" s="14">
        <f>G896*(1-0.107455156950673)</f>
        <v>0</v>
      </c>
      <c r="AG896" s="10" t="s">
        <v>13</v>
      </c>
      <c r="AM896" s="14">
        <f>F896*AE896</f>
        <v>0</v>
      </c>
      <c r="AN896" s="14">
        <f>F896*AF896</f>
        <v>0</v>
      </c>
      <c r="AO896" s="15" t="s">
        <v>1704</v>
      </c>
      <c r="AP896" s="15" t="s">
        <v>1746</v>
      </c>
      <c r="AQ896" s="8" t="s">
        <v>1770</v>
      </c>
      <c r="AS896" s="14">
        <f>AM896+AN896</f>
        <v>0</v>
      </c>
      <c r="AT896" s="14">
        <f>G896/(100-AU896)*100</f>
        <v>0</v>
      </c>
      <c r="AU896" s="14">
        <v>0</v>
      </c>
      <c r="AV896" s="14">
        <f>L896</f>
        <v>0.0009</v>
      </c>
    </row>
    <row r="897" spans="1:48" ht="12.75">
      <c r="A897" s="99" t="s">
        <v>320</v>
      </c>
      <c r="B897" s="99" t="s">
        <v>407</v>
      </c>
      <c r="C897" s="99" t="s">
        <v>699</v>
      </c>
      <c r="D897" s="99" t="s">
        <v>1498</v>
      </c>
      <c r="E897" s="99" t="s">
        <v>1644</v>
      </c>
      <c r="F897" s="100">
        <v>1</v>
      </c>
      <c r="G897" s="100">
        <v>0</v>
      </c>
      <c r="H897" s="100">
        <f>F897*AE897</f>
        <v>0</v>
      </c>
      <c r="I897" s="100">
        <f>J897-H897</f>
        <v>0</v>
      </c>
      <c r="J897" s="100">
        <f>F897*G897</f>
        <v>0</v>
      </c>
      <c r="K897" s="100">
        <v>0</v>
      </c>
      <c r="L897" s="100">
        <f>F897*K897</f>
        <v>0</v>
      </c>
      <c r="M897" s="101" t="s">
        <v>1667</v>
      </c>
      <c r="P897" s="14">
        <f>IF(AG897="5",J897,0)</f>
        <v>0</v>
      </c>
      <c r="R897" s="14">
        <f>IF(AG897="1",H897,0)</f>
        <v>0</v>
      </c>
      <c r="S897" s="14">
        <f>IF(AG897="1",I897,0)</f>
        <v>0</v>
      </c>
      <c r="T897" s="14">
        <f>IF(AG897="7",H897,0)</f>
        <v>0</v>
      </c>
      <c r="U897" s="14">
        <f>IF(AG897="7",I897,0)</f>
        <v>0</v>
      </c>
      <c r="V897" s="14">
        <f>IF(AG897="2",H897,0)</f>
        <v>0</v>
      </c>
      <c r="W897" s="14">
        <f>IF(AG897="2",I897,0)</f>
        <v>0</v>
      </c>
      <c r="X897" s="14">
        <f>IF(AG897="0",J897,0)</f>
        <v>0</v>
      </c>
      <c r="Y897" s="8" t="s">
        <v>407</v>
      </c>
      <c r="Z897" s="5">
        <f>IF(AD897=0,J897,0)</f>
        <v>0</v>
      </c>
      <c r="AA897" s="5">
        <f>IF(AD897=15,J897,0)</f>
        <v>0</v>
      </c>
      <c r="AB897" s="5">
        <f>IF(AD897=21,J897,0)</f>
        <v>0</v>
      </c>
      <c r="AD897" s="14">
        <v>15</v>
      </c>
      <c r="AE897" s="14">
        <f>G897*0</f>
        <v>0</v>
      </c>
      <c r="AF897" s="14">
        <f>G897*(1-0)</f>
        <v>0</v>
      </c>
      <c r="AG897" s="10" t="s">
        <v>13</v>
      </c>
      <c r="AM897" s="14">
        <f>F897*AE897</f>
        <v>0</v>
      </c>
      <c r="AN897" s="14">
        <f>F897*AF897</f>
        <v>0</v>
      </c>
      <c r="AO897" s="15" t="s">
        <v>1704</v>
      </c>
      <c r="AP897" s="15" t="s">
        <v>1746</v>
      </c>
      <c r="AQ897" s="8" t="s">
        <v>1770</v>
      </c>
      <c r="AS897" s="14">
        <f>AM897+AN897</f>
        <v>0</v>
      </c>
      <c r="AT897" s="14">
        <f>G897/(100-AU897)*100</f>
        <v>0</v>
      </c>
      <c r="AU897" s="14">
        <v>0</v>
      </c>
      <c r="AV897" s="14">
        <f>L897</f>
        <v>0</v>
      </c>
    </row>
    <row r="898" spans="1:48" ht="12.75">
      <c r="A898" s="105" t="s">
        <v>321</v>
      </c>
      <c r="B898" s="105" t="s">
        <v>407</v>
      </c>
      <c r="C898" s="105" t="s">
        <v>700</v>
      </c>
      <c r="D898" s="105" t="s">
        <v>1499</v>
      </c>
      <c r="E898" s="105" t="s">
        <v>1641</v>
      </c>
      <c r="F898" s="106">
        <v>1</v>
      </c>
      <c r="G898" s="106">
        <v>0</v>
      </c>
      <c r="H898" s="106">
        <f>F898*AE898</f>
        <v>0</v>
      </c>
      <c r="I898" s="106">
        <f>J898-H898</f>
        <v>0</v>
      </c>
      <c r="J898" s="106">
        <f>F898*G898</f>
        <v>0</v>
      </c>
      <c r="K898" s="106">
        <v>0.017</v>
      </c>
      <c r="L898" s="106">
        <f>F898*K898</f>
        <v>0.017</v>
      </c>
      <c r="M898" s="107" t="s">
        <v>1667</v>
      </c>
      <c r="P898" s="14">
        <f>IF(AG898="5",J898,0)</f>
        <v>0</v>
      </c>
      <c r="R898" s="14">
        <f>IF(AG898="1",H898,0)</f>
        <v>0</v>
      </c>
      <c r="S898" s="14">
        <f>IF(AG898="1",I898,0)</f>
        <v>0</v>
      </c>
      <c r="T898" s="14">
        <f>IF(AG898="7",H898,0)</f>
        <v>0</v>
      </c>
      <c r="U898" s="14">
        <f>IF(AG898="7",I898,0)</f>
        <v>0</v>
      </c>
      <c r="V898" s="14">
        <f>IF(AG898="2",H898,0)</f>
        <v>0</v>
      </c>
      <c r="W898" s="14">
        <f>IF(AG898="2",I898,0)</f>
        <v>0</v>
      </c>
      <c r="X898" s="14">
        <f>IF(AG898="0",J898,0)</f>
        <v>0</v>
      </c>
      <c r="Y898" s="8" t="s">
        <v>407</v>
      </c>
      <c r="Z898" s="6">
        <f>IF(AD898=0,J898,0)</f>
        <v>0</v>
      </c>
      <c r="AA898" s="6">
        <f>IF(AD898=15,J898,0)</f>
        <v>0</v>
      </c>
      <c r="AB898" s="6">
        <f>IF(AD898=21,J898,0)</f>
        <v>0</v>
      </c>
      <c r="AD898" s="14">
        <v>15</v>
      </c>
      <c r="AE898" s="14">
        <f>G898*1</f>
        <v>0</v>
      </c>
      <c r="AF898" s="14">
        <f>G898*(1-1)</f>
        <v>0</v>
      </c>
      <c r="AG898" s="11" t="s">
        <v>13</v>
      </c>
      <c r="AM898" s="14">
        <f>F898*AE898</f>
        <v>0</v>
      </c>
      <c r="AN898" s="14">
        <f>F898*AF898</f>
        <v>0</v>
      </c>
      <c r="AO898" s="15" t="s">
        <v>1704</v>
      </c>
      <c r="AP898" s="15" t="s">
        <v>1746</v>
      </c>
      <c r="AQ898" s="8" t="s">
        <v>1770</v>
      </c>
      <c r="AS898" s="14">
        <f>AM898+AN898</f>
        <v>0</v>
      </c>
      <c r="AT898" s="14">
        <f>G898/(100-AU898)*100</f>
        <v>0</v>
      </c>
      <c r="AU898" s="14">
        <v>0</v>
      </c>
      <c r="AV898" s="14">
        <f>L898</f>
        <v>0.017</v>
      </c>
    </row>
    <row r="899" spans="1:48" ht="12.75">
      <c r="A899" s="105" t="s">
        <v>322</v>
      </c>
      <c r="B899" s="105" t="s">
        <v>407</v>
      </c>
      <c r="C899" s="105" t="s">
        <v>701</v>
      </c>
      <c r="D899" s="105" t="s">
        <v>1500</v>
      </c>
      <c r="E899" s="105" t="s">
        <v>1641</v>
      </c>
      <c r="F899" s="106">
        <v>1</v>
      </c>
      <c r="G899" s="106">
        <v>0</v>
      </c>
      <c r="H899" s="106">
        <f>F899*AE899</f>
        <v>0</v>
      </c>
      <c r="I899" s="106">
        <f>J899-H899</f>
        <v>0</v>
      </c>
      <c r="J899" s="106">
        <f>F899*G899</f>
        <v>0</v>
      </c>
      <c r="K899" s="106">
        <v>0.042</v>
      </c>
      <c r="L899" s="106">
        <f>F899*K899</f>
        <v>0.042</v>
      </c>
      <c r="M899" s="107" t="s">
        <v>1667</v>
      </c>
      <c r="P899" s="14">
        <f>IF(AG899="5",J899,0)</f>
        <v>0</v>
      </c>
      <c r="R899" s="14">
        <f>IF(AG899="1",H899,0)</f>
        <v>0</v>
      </c>
      <c r="S899" s="14">
        <f>IF(AG899="1",I899,0)</f>
        <v>0</v>
      </c>
      <c r="T899" s="14">
        <f>IF(AG899="7",H899,0)</f>
        <v>0</v>
      </c>
      <c r="U899" s="14">
        <f>IF(AG899="7",I899,0)</f>
        <v>0</v>
      </c>
      <c r="V899" s="14">
        <f>IF(AG899="2",H899,0)</f>
        <v>0</v>
      </c>
      <c r="W899" s="14">
        <f>IF(AG899="2",I899,0)</f>
        <v>0</v>
      </c>
      <c r="X899" s="14">
        <f>IF(AG899="0",J899,0)</f>
        <v>0</v>
      </c>
      <c r="Y899" s="8" t="s">
        <v>407</v>
      </c>
      <c r="Z899" s="6">
        <f>IF(AD899=0,J899,0)</f>
        <v>0</v>
      </c>
      <c r="AA899" s="6">
        <f>IF(AD899=15,J899,0)</f>
        <v>0</v>
      </c>
      <c r="AB899" s="6">
        <f>IF(AD899=21,J899,0)</f>
        <v>0</v>
      </c>
      <c r="AD899" s="14">
        <v>15</v>
      </c>
      <c r="AE899" s="14">
        <f>G899*1</f>
        <v>0</v>
      </c>
      <c r="AF899" s="14">
        <f>G899*(1-1)</f>
        <v>0</v>
      </c>
      <c r="AG899" s="11" t="s">
        <v>13</v>
      </c>
      <c r="AM899" s="14">
        <f>F899*AE899</f>
        <v>0</v>
      </c>
      <c r="AN899" s="14">
        <f>F899*AF899</f>
        <v>0</v>
      </c>
      <c r="AO899" s="15" t="s">
        <v>1704</v>
      </c>
      <c r="AP899" s="15" t="s">
        <v>1746</v>
      </c>
      <c r="AQ899" s="8" t="s">
        <v>1770</v>
      </c>
      <c r="AS899" s="14">
        <f>AM899+AN899</f>
        <v>0</v>
      </c>
      <c r="AT899" s="14">
        <f>G899/(100-AU899)*100</f>
        <v>0</v>
      </c>
      <c r="AU899" s="14">
        <v>0</v>
      </c>
      <c r="AV899" s="14">
        <f>L899</f>
        <v>0.042</v>
      </c>
    </row>
    <row r="900" spans="1:37" ht="12.75">
      <c r="A900" s="93"/>
      <c r="B900" s="94" t="s">
        <v>407</v>
      </c>
      <c r="C900" s="94" t="s">
        <v>615</v>
      </c>
      <c r="D900" s="95" t="s">
        <v>1244</v>
      </c>
      <c r="E900" s="96"/>
      <c r="F900" s="96"/>
      <c r="G900" s="96"/>
      <c r="H900" s="97">
        <f>SUM(H901:H906)</f>
        <v>0</v>
      </c>
      <c r="I900" s="97">
        <f>SUM(I901:I906)</f>
        <v>0</v>
      </c>
      <c r="J900" s="97">
        <f>H900+I900</f>
        <v>0</v>
      </c>
      <c r="K900" s="98"/>
      <c r="L900" s="97">
        <f>SUM(L901:L906)</f>
        <v>0.03175</v>
      </c>
      <c r="M900" s="98"/>
      <c r="Y900" s="8" t="s">
        <v>407</v>
      </c>
      <c r="AI900" s="16">
        <f>SUM(Z901:Z906)</f>
        <v>0</v>
      </c>
      <c r="AJ900" s="16">
        <f>SUM(AA901:AA906)</f>
        <v>0</v>
      </c>
      <c r="AK900" s="16">
        <f>SUM(AB901:AB906)</f>
        <v>0</v>
      </c>
    </row>
    <row r="901" spans="1:48" ht="12.75">
      <c r="A901" s="99" t="s">
        <v>323</v>
      </c>
      <c r="B901" s="99" t="s">
        <v>407</v>
      </c>
      <c r="C901" s="99" t="s">
        <v>702</v>
      </c>
      <c r="D901" s="99" t="s">
        <v>1501</v>
      </c>
      <c r="E901" s="99" t="s">
        <v>1644</v>
      </c>
      <c r="F901" s="100">
        <v>4</v>
      </c>
      <c r="G901" s="100">
        <v>0</v>
      </c>
      <c r="H901" s="100">
        <f>F901*AE901</f>
        <v>0</v>
      </c>
      <c r="I901" s="100">
        <f>J901-H901</f>
        <v>0</v>
      </c>
      <c r="J901" s="100">
        <f>F901*G901</f>
        <v>0</v>
      </c>
      <c r="K901" s="100">
        <v>0</v>
      </c>
      <c r="L901" s="100">
        <f>F901*K901</f>
        <v>0</v>
      </c>
      <c r="M901" s="101" t="s">
        <v>1667</v>
      </c>
      <c r="P901" s="14">
        <f>IF(AG901="5",J901,0)</f>
        <v>0</v>
      </c>
      <c r="R901" s="14">
        <f>IF(AG901="1",H901,0)</f>
        <v>0</v>
      </c>
      <c r="S901" s="14">
        <f>IF(AG901="1",I901,0)</f>
        <v>0</v>
      </c>
      <c r="T901" s="14">
        <f>IF(AG901="7",H901,0)</f>
        <v>0</v>
      </c>
      <c r="U901" s="14">
        <f>IF(AG901="7",I901,0)</f>
        <v>0</v>
      </c>
      <c r="V901" s="14">
        <f>IF(AG901="2",H901,0)</f>
        <v>0</v>
      </c>
      <c r="W901" s="14">
        <f>IF(AG901="2",I901,0)</f>
        <v>0</v>
      </c>
      <c r="X901" s="14">
        <f>IF(AG901="0",J901,0)</f>
        <v>0</v>
      </c>
      <c r="Y901" s="8" t="s">
        <v>407</v>
      </c>
      <c r="Z901" s="5">
        <f>IF(AD901=0,J901,0)</f>
        <v>0</v>
      </c>
      <c r="AA901" s="5">
        <f>IF(AD901=15,J901,0)</f>
        <v>0</v>
      </c>
      <c r="AB901" s="5">
        <f>IF(AD901=21,J901,0)</f>
        <v>0</v>
      </c>
      <c r="AD901" s="14">
        <v>15</v>
      </c>
      <c r="AE901" s="14">
        <f>G901*0</f>
        <v>0</v>
      </c>
      <c r="AF901" s="14">
        <f>G901*(1-0)</f>
        <v>0</v>
      </c>
      <c r="AG901" s="10" t="s">
        <v>13</v>
      </c>
      <c r="AM901" s="14">
        <f>F901*AE901</f>
        <v>0</v>
      </c>
      <c r="AN901" s="14">
        <f>F901*AF901</f>
        <v>0</v>
      </c>
      <c r="AO901" s="15" t="s">
        <v>1705</v>
      </c>
      <c r="AP901" s="15" t="s">
        <v>1746</v>
      </c>
      <c r="AQ901" s="8" t="s">
        <v>1770</v>
      </c>
      <c r="AS901" s="14">
        <f>AM901+AN901</f>
        <v>0</v>
      </c>
      <c r="AT901" s="14">
        <f>G901/(100-AU901)*100</f>
        <v>0</v>
      </c>
      <c r="AU901" s="14">
        <v>0</v>
      </c>
      <c r="AV901" s="14">
        <f>L901</f>
        <v>0</v>
      </c>
    </row>
    <row r="902" spans="1:48" ht="12.75">
      <c r="A902" s="99" t="s">
        <v>324</v>
      </c>
      <c r="B902" s="99" t="s">
        <v>407</v>
      </c>
      <c r="C902" s="99" t="s">
        <v>703</v>
      </c>
      <c r="D902" s="99" t="s">
        <v>1502</v>
      </c>
      <c r="E902" s="99" t="s">
        <v>1649</v>
      </c>
      <c r="F902" s="100">
        <v>35</v>
      </c>
      <c r="G902" s="100">
        <v>0</v>
      </c>
      <c r="H902" s="100">
        <f>F902*AE902</f>
        <v>0</v>
      </c>
      <c r="I902" s="100">
        <f>J902-H902</f>
        <v>0</v>
      </c>
      <c r="J902" s="100">
        <f>F902*G902</f>
        <v>0</v>
      </c>
      <c r="K902" s="100">
        <v>5E-05</v>
      </c>
      <c r="L902" s="100">
        <f>F902*K902</f>
        <v>0.00175</v>
      </c>
      <c r="M902" s="101" t="s">
        <v>1667</v>
      </c>
      <c r="P902" s="14">
        <f>IF(AG902="5",J902,0)</f>
        <v>0</v>
      </c>
      <c r="R902" s="14">
        <f>IF(AG902="1",H902,0)</f>
        <v>0</v>
      </c>
      <c r="S902" s="14">
        <f>IF(AG902="1",I902,0)</f>
        <v>0</v>
      </c>
      <c r="T902" s="14">
        <f>IF(AG902="7",H902,0)</f>
        <v>0</v>
      </c>
      <c r="U902" s="14">
        <f>IF(AG902="7",I902,0)</f>
        <v>0</v>
      </c>
      <c r="V902" s="14">
        <f>IF(AG902="2",H902,0)</f>
        <v>0</v>
      </c>
      <c r="W902" s="14">
        <f>IF(AG902="2",I902,0)</f>
        <v>0</v>
      </c>
      <c r="X902" s="14">
        <f>IF(AG902="0",J902,0)</f>
        <v>0</v>
      </c>
      <c r="Y902" s="8" t="s">
        <v>407</v>
      </c>
      <c r="Z902" s="5">
        <f>IF(AD902=0,J902,0)</f>
        <v>0</v>
      </c>
      <c r="AA902" s="5">
        <f>IF(AD902=15,J902,0)</f>
        <v>0</v>
      </c>
      <c r="AB902" s="5">
        <f>IF(AD902=21,J902,0)</f>
        <v>0</v>
      </c>
      <c r="AD902" s="14">
        <v>15</v>
      </c>
      <c r="AE902" s="14">
        <f>G902*0.167942583732057</f>
        <v>0</v>
      </c>
      <c r="AF902" s="14">
        <f>G902*(1-0.167942583732057)</f>
        <v>0</v>
      </c>
      <c r="AG902" s="10" t="s">
        <v>13</v>
      </c>
      <c r="AM902" s="14">
        <f>F902*AE902</f>
        <v>0</v>
      </c>
      <c r="AN902" s="14">
        <f>F902*AF902</f>
        <v>0</v>
      </c>
      <c r="AO902" s="15" t="s">
        <v>1705</v>
      </c>
      <c r="AP902" s="15" t="s">
        <v>1746</v>
      </c>
      <c r="AQ902" s="8" t="s">
        <v>1770</v>
      </c>
      <c r="AS902" s="14">
        <f>AM902+AN902</f>
        <v>0</v>
      </c>
      <c r="AT902" s="14">
        <f>G902/(100-AU902)*100</f>
        <v>0</v>
      </c>
      <c r="AU902" s="14">
        <v>0</v>
      </c>
      <c r="AV902" s="14">
        <f>L902</f>
        <v>0.00175</v>
      </c>
    </row>
    <row r="903" spans="1:13" ht="12.75">
      <c r="A903" s="102"/>
      <c r="B903" s="102"/>
      <c r="C903" s="102"/>
      <c r="D903" s="103" t="s">
        <v>1503</v>
      </c>
      <c r="E903" s="102"/>
      <c r="F903" s="104">
        <v>35</v>
      </c>
      <c r="G903" s="102"/>
      <c r="H903" s="102"/>
      <c r="I903" s="102"/>
      <c r="J903" s="102"/>
      <c r="K903" s="102"/>
      <c r="L903" s="102"/>
      <c r="M903" s="102"/>
    </row>
    <row r="904" spans="1:48" ht="12.75">
      <c r="A904" s="105" t="s">
        <v>325</v>
      </c>
      <c r="B904" s="105" t="s">
        <v>407</v>
      </c>
      <c r="C904" s="105" t="s">
        <v>704</v>
      </c>
      <c r="D904" s="105" t="s">
        <v>1504</v>
      </c>
      <c r="E904" s="105" t="s">
        <v>1642</v>
      </c>
      <c r="F904" s="106">
        <v>0.03</v>
      </c>
      <c r="G904" s="106">
        <v>0</v>
      </c>
      <c r="H904" s="106">
        <f>F904*AE904</f>
        <v>0</v>
      </c>
      <c r="I904" s="106">
        <f>J904-H904</f>
        <v>0</v>
      </c>
      <c r="J904" s="106">
        <f>F904*G904</f>
        <v>0</v>
      </c>
      <c r="K904" s="106">
        <v>1</v>
      </c>
      <c r="L904" s="106">
        <f>F904*K904</f>
        <v>0.03</v>
      </c>
      <c r="M904" s="107" t="s">
        <v>1667</v>
      </c>
      <c r="P904" s="14">
        <f>IF(AG904="5",J904,0)</f>
        <v>0</v>
      </c>
      <c r="R904" s="14">
        <f>IF(AG904="1",H904,0)</f>
        <v>0</v>
      </c>
      <c r="S904" s="14">
        <f>IF(AG904="1",I904,0)</f>
        <v>0</v>
      </c>
      <c r="T904" s="14">
        <f>IF(AG904="7",H904,0)</f>
        <v>0</v>
      </c>
      <c r="U904" s="14">
        <f>IF(AG904="7",I904,0)</f>
        <v>0</v>
      </c>
      <c r="V904" s="14">
        <f>IF(AG904="2",H904,0)</f>
        <v>0</v>
      </c>
      <c r="W904" s="14">
        <f>IF(AG904="2",I904,0)</f>
        <v>0</v>
      </c>
      <c r="X904" s="14">
        <f>IF(AG904="0",J904,0)</f>
        <v>0</v>
      </c>
      <c r="Y904" s="8" t="s">
        <v>407</v>
      </c>
      <c r="Z904" s="6">
        <f>IF(AD904=0,J904,0)</f>
        <v>0</v>
      </c>
      <c r="AA904" s="6">
        <f>IF(AD904=15,J904,0)</f>
        <v>0</v>
      </c>
      <c r="AB904" s="6">
        <f>IF(AD904=21,J904,0)</f>
        <v>0</v>
      </c>
      <c r="AD904" s="14">
        <v>15</v>
      </c>
      <c r="AE904" s="14">
        <f>G904*1</f>
        <v>0</v>
      </c>
      <c r="AF904" s="14">
        <f>G904*(1-1)</f>
        <v>0</v>
      </c>
      <c r="AG904" s="11" t="s">
        <v>13</v>
      </c>
      <c r="AM904" s="14">
        <f>F904*AE904</f>
        <v>0</v>
      </c>
      <c r="AN904" s="14">
        <f>F904*AF904</f>
        <v>0</v>
      </c>
      <c r="AO904" s="15" t="s">
        <v>1705</v>
      </c>
      <c r="AP904" s="15" t="s">
        <v>1746</v>
      </c>
      <c r="AQ904" s="8" t="s">
        <v>1770</v>
      </c>
      <c r="AS904" s="14">
        <f>AM904+AN904</f>
        <v>0</v>
      </c>
      <c r="AT904" s="14">
        <f>G904/(100-AU904)*100</f>
        <v>0</v>
      </c>
      <c r="AU904" s="14">
        <v>0</v>
      </c>
      <c r="AV904" s="14">
        <f>L904</f>
        <v>0.03</v>
      </c>
    </row>
    <row r="905" spans="1:13" ht="12.75">
      <c r="A905" s="102"/>
      <c r="B905" s="102"/>
      <c r="C905" s="102"/>
      <c r="D905" s="103" t="s">
        <v>1505</v>
      </c>
      <c r="E905" s="102"/>
      <c r="F905" s="104">
        <v>0.03</v>
      </c>
      <c r="G905" s="102"/>
      <c r="H905" s="102"/>
      <c r="I905" s="102"/>
      <c r="J905" s="102"/>
      <c r="K905" s="102"/>
      <c r="L905" s="102"/>
      <c r="M905" s="102"/>
    </row>
    <row r="906" spans="1:48" ht="12.75">
      <c r="A906" s="105" t="s">
        <v>326</v>
      </c>
      <c r="B906" s="105" t="s">
        <v>407</v>
      </c>
      <c r="C906" s="105" t="s">
        <v>705</v>
      </c>
      <c r="D906" s="105" t="s">
        <v>1506</v>
      </c>
      <c r="E906" s="105" t="s">
        <v>1642</v>
      </c>
      <c r="F906" s="106">
        <v>0</v>
      </c>
      <c r="G906" s="106">
        <v>0</v>
      </c>
      <c r="H906" s="106">
        <f>F906*AE906</f>
        <v>0</v>
      </c>
      <c r="I906" s="106">
        <f>J906-H906</f>
        <v>0</v>
      </c>
      <c r="J906" s="106">
        <f>F906*G906</f>
        <v>0</v>
      </c>
      <c r="K906" s="106">
        <v>1</v>
      </c>
      <c r="L906" s="106">
        <f>F906*K906</f>
        <v>0</v>
      </c>
      <c r="M906" s="107" t="s">
        <v>1667</v>
      </c>
      <c r="P906" s="14">
        <f>IF(AG906="5",J906,0)</f>
        <v>0</v>
      </c>
      <c r="R906" s="14">
        <f>IF(AG906="1",H906,0)</f>
        <v>0</v>
      </c>
      <c r="S906" s="14">
        <f>IF(AG906="1",I906,0)</f>
        <v>0</v>
      </c>
      <c r="T906" s="14">
        <f>IF(AG906="7",H906,0)</f>
        <v>0</v>
      </c>
      <c r="U906" s="14">
        <f>IF(AG906="7",I906,0)</f>
        <v>0</v>
      </c>
      <c r="V906" s="14">
        <f>IF(AG906="2",H906,0)</f>
        <v>0</v>
      </c>
      <c r="W906" s="14">
        <f>IF(AG906="2",I906,0)</f>
        <v>0</v>
      </c>
      <c r="X906" s="14">
        <f>IF(AG906="0",J906,0)</f>
        <v>0</v>
      </c>
      <c r="Y906" s="8" t="s">
        <v>407</v>
      </c>
      <c r="Z906" s="6">
        <f>IF(AD906=0,J906,0)</f>
        <v>0</v>
      </c>
      <c r="AA906" s="6">
        <f>IF(AD906=15,J906,0)</f>
        <v>0</v>
      </c>
      <c r="AB906" s="6">
        <f>IF(AD906=21,J906,0)</f>
        <v>0</v>
      </c>
      <c r="AD906" s="14">
        <v>15</v>
      </c>
      <c r="AE906" s="14">
        <f>G906*1</f>
        <v>0</v>
      </c>
      <c r="AF906" s="14">
        <f>G906*(1-1)</f>
        <v>0</v>
      </c>
      <c r="AG906" s="11" t="s">
        <v>13</v>
      </c>
      <c r="AM906" s="14">
        <f>F906*AE906</f>
        <v>0</v>
      </c>
      <c r="AN906" s="14">
        <f>F906*AF906</f>
        <v>0</v>
      </c>
      <c r="AO906" s="15" t="s">
        <v>1705</v>
      </c>
      <c r="AP906" s="15" t="s">
        <v>1746</v>
      </c>
      <c r="AQ906" s="8" t="s">
        <v>1770</v>
      </c>
      <c r="AS906" s="14">
        <f>AM906+AN906</f>
        <v>0</v>
      </c>
      <c r="AT906" s="14">
        <f>G906/(100-AU906)*100</f>
        <v>0</v>
      </c>
      <c r="AU906" s="14">
        <v>0</v>
      </c>
      <c r="AV906" s="14">
        <f>L906</f>
        <v>0</v>
      </c>
    </row>
    <row r="907" spans="1:13" ht="12.75">
      <c r="A907" s="102"/>
      <c r="B907" s="102"/>
      <c r="C907" s="102"/>
      <c r="D907" s="103" t="s">
        <v>1507</v>
      </c>
      <c r="E907" s="102"/>
      <c r="F907" s="104">
        <v>0</v>
      </c>
      <c r="G907" s="102"/>
      <c r="H907" s="102"/>
      <c r="I907" s="102"/>
      <c r="J907" s="102"/>
      <c r="K907" s="102"/>
      <c r="L907" s="102"/>
      <c r="M907" s="102"/>
    </row>
    <row r="908" spans="1:37" ht="12.75">
      <c r="A908" s="93"/>
      <c r="B908" s="94" t="s">
        <v>407</v>
      </c>
      <c r="C908" s="94" t="s">
        <v>706</v>
      </c>
      <c r="D908" s="95" t="s">
        <v>1508</v>
      </c>
      <c r="E908" s="96"/>
      <c r="F908" s="96"/>
      <c r="G908" s="96"/>
      <c r="H908" s="97">
        <f>SUM(H909:H909)</f>
        <v>0</v>
      </c>
      <c r="I908" s="97">
        <f>SUM(I909:I909)</f>
        <v>0</v>
      </c>
      <c r="J908" s="97">
        <f>H908+I908</f>
        <v>0</v>
      </c>
      <c r="K908" s="98"/>
      <c r="L908" s="97">
        <f>SUM(L909:L909)</f>
        <v>0.23113519999999999</v>
      </c>
      <c r="M908" s="98"/>
      <c r="Y908" s="8" t="s">
        <v>407</v>
      </c>
      <c r="AI908" s="16">
        <f>SUM(Z909:Z909)</f>
        <v>0</v>
      </c>
      <c r="AJ908" s="16">
        <f>SUM(AA909:AA909)</f>
        <v>0</v>
      </c>
      <c r="AK908" s="16">
        <f>SUM(AB909:AB909)</f>
        <v>0</v>
      </c>
    </row>
    <row r="909" spans="1:48" ht="12.75">
      <c r="A909" s="99" t="s">
        <v>327</v>
      </c>
      <c r="B909" s="99" t="s">
        <v>407</v>
      </c>
      <c r="C909" s="99" t="s">
        <v>707</v>
      </c>
      <c r="D909" s="99" t="s">
        <v>1509</v>
      </c>
      <c r="E909" s="99" t="s">
        <v>1640</v>
      </c>
      <c r="F909" s="100">
        <v>37.16</v>
      </c>
      <c r="G909" s="100">
        <v>0</v>
      </c>
      <c r="H909" s="100">
        <f>F909*AE909</f>
        <v>0</v>
      </c>
      <c r="I909" s="100">
        <f>J909-H909</f>
        <v>0</v>
      </c>
      <c r="J909" s="100">
        <f>F909*G909</f>
        <v>0</v>
      </c>
      <c r="K909" s="100">
        <v>0.00622</v>
      </c>
      <c r="L909" s="100">
        <f>F909*K909</f>
        <v>0.23113519999999999</v>
      </c>
      <c r="M909" s="101" t="s">
        <v>1667</v>
      </c>
      <c r="P909" s="14">
        <f>IF(AG909="5",J909,0)</f>
        <v>0</v>
      </c>
      <c r="R909" s="14">
        <f>IF(AG909="1",H909,0)</f>
        <v>0</v>
      </c>
      <c r="S909" s="14">
        <f>IF(AG909="1",I909,0)</f>
        <v>0</v>
      </c>
      <c r="T909" s="14">
        <f>IF(AG909="7",H909,0)</f>
        <v>0</v>
      </c>
      <c r="U909" s="14">
        <f>IF(AG909="7",I909,0)</f>
        <v>0</v>
      </c>
      <c r="V909" s="14">
        <f>IF(AG909="2",H909,0)</f>
        <v>0</v>
      </c>
      <c r="W909" s="14">
        <f>IF(AG909="2",I909,0)</f>
        <v>0</v>
      </c>
      <c r="X909" s="14">
        <f>IF(AG909="0",J909,0)</f>
        <v>0</v>
      </c>
      <c r="Y909" s="8" t="s">
        <v>407</v>
      </c>
      <c r="Z909" s="5">
        <f>IF(AD909=0,J909,0)</f>
        <v>0</v>
      </c>
      <c r="AA909" s="5">
        <f>IF(AD909=15,J909,0)</f>
        <v>0</v>
      </c>
      <c r="AB909" s="5">
        <f>IF(AD909=21,J909,0)</f>
        <v>0</v>
      </c>
      <c r="AD909" s="14">
        <v>15</v>
      </c>
      <c r="AE909" s="14">
        <f>G909*0.641129863626992</f>
        <v>0</v>
      </c>
      <c r="AF909" s="14">
        <f>G909*(1-0.641129863626992)</f>
        <v>0</v>
      </c>
      <c r="AG909" s="10" t="s">
        <v>13</v>
      </c>
      <c r="AM909" s="14">
        <f>F909*AE909</f>
        <v>0</v>
      </c>
      <c r="AN909" s="14">
        <f>F909*AF909</f>
        <v>0</v>
      </c>
      <c r="AO909" s="15" t="s">
        <v>1717</v>
      </c>
      <c r="AP909" s="15" t="s">
        <v>1747</v>
      </c>
      <c r="AQ909" s="8" t="s">
        <v>1770</v>
      </c>
      <c r="AS909" s="14">
        <f>AM909+AN909</f>
        <v>0</v>
      </c>
      <c r="AT909" s="14">
        <f>G909/(100-AU909)*100</f>
        <v>0</v>
      </c>
      <c r="AU909" s="14">
        <v>0</v>
      </c>
      <c r="AV909" s="14">
        <f>L909</f>
        <v>0.23113519999999999</v>
      </c>
    </row>
    <row r="910" spans="1:13" ht="12.75">
      <c r="A910" s="102"/>
      <c r="B910" s="102"/>
      <c r="C910" s="102"/>
      <c r="D910" s="103" t="s">
        <v>40</v>
      </c>
      <c r="E910" s="102"/>
      <c r="F910" s="104">
        <v>34</v>
      </c>
      <c r="G910" s="102"/>
      <c r="H910" s="102"/>
      <c r="I910" s="102"/>
      <c r="J910" s="102"/>
      <c r="K910" s="102"/>
      <c r="L910" s="102"/>
      <c r="M910" s="102"/>
    </row>
    <row r="911" spans="1:13" ht="12.75">
      <c r="A911" s="102"/>
      <c r="B911" s="102"/>
      <c r="C911" s="102"/>
      <c r="D911" s="103" t="s">
        <v>1510</v>
      </c>
      <c r="E911" s="102"/>
      <c r="F911" s="104">
        <v>3.61</v>
      </c>
      <c r="G911" s="102"/>
      <c r="H911" s="102"/>
      <c r="I911" s="102"/>
      <c r="J911" s="102"/>
      <c r="K911" s="102"/>
      <c r="L911" s="102"/>
      <c r="M911" s="102"/>
    </row>
    <row r="912" spans="1:13" ht="12.75">
      <c r="A912" s="102"/>
      <c r="B912" s="102"/>
      <c r="C912" s="102"/>
      <c r="D912" s="103" t="s">
        <v>1511</v>
      </c>
      <c r="E912" s="102"/>
      <c r="F912" s="104">
        <v>-0.45</v>
      </c>
      <c r="G912" s="102"/>
      <c r="H912" s="102"/>
      <c r="I912" s="102"/>
      <c r="J912" s="102"/>
      <c r="K912" s="102"/>
      <c r="L912" s="102"/>
      <c r="M912" s="102"/>
    </row>
    <row r="913" spans="1:37" ht="12.75">
      <c r="A913" s="93"/>
      <c r="B913" s="94" t="s">
        <v>407</v>
      </c>
      <c r="C913" s="94" t="s">
        <v>652</v>
      </c>
      <c r="D913" s="95" t="s">
        <v>1342</v>
      </c>
      <c r="E913" s="96"/>
      <c r="F913" s="96"/>
      <c r="G913" s="96"/>
      <c r="H913" s="97">
        <f>SUM(H914:H918)</f>
        <v>0</v>
      </c>
      <c r="I913" s="97">
        <f>SUM(I914:I918)</f>
        <v>0</v>
      </c>
      <c r="J913" s="97">
        <f>H913+I913</f>
        <v>0</v>
      </c>
      <c r="K913" s="98"/>
      <c r="L913" s="97">
        <f>SUM(L914:L918)</f>
        <v>0.0635375</v>
      </c>
      <c r="M913" s="98"/>
      <c r="Y913" s="8" t="s">
        <v>407</v>
      </c>
      <c r="AI913" s="16">
        <f>SUM(Z914:Z918)</f>
        <v>0</v>
      </c>
      <c r="AJ913" s="16">
        <f>SUM(AA914:AA918)</f>
        <v>0</v>
      </c>
      <c r="AK913" s="16">
        <f>SUM(AB914:AB918)</f>
        <v>0</v>
      </c>
    </row>
    <row r="914" spans="1:48" ht="12.75">
      <c r="A914" s="99" t="s">
        <v>328</v>
      </c>
      <c r="B914" s="99" t="s">
        <v>407</v>
      </c>
      <c r="C914" s="99" t="s">
        <v>653</v>
      </c>
      <c r="D914" s="99" t="s">
        <v>1343</v>
      </c>
      <c r="E914" s="99" t="s">
        <v>1640</v>
      </c>
      <c r="F914" s="100">
        <v>97.75</v>
      </c>
      <c r="G914" s="100">
        <v>0</v>
      </c>
      <c r="H914" s="100">
        <f>F914*AE914</f>
        <v>0</v>
      </c>
      <c r="I914" s="100">
        <f>J914-H914</f>
        <v>0</v>
      </c>
      <c r="J914" s="100">
        <f>F914*G914</f>
        <v>0</v>
      </c>
      <c r="K914" s="100">
        <v>0.00017</v>
      </c>
      <c r="L914" s="100">
        <f>F914*K914</f>
        <v>0.0166175</v>
      </c>
      <c r="M914" s="101" t="s">
        <v>1667</v>
      </c>
      <c r="P914" s="14">
        <f>IF(AG914="5",J914,0)</f>
        <v>0</v>
      </c>
      <c r="R914" s="14">
        <f>IF(AG914="1",H914,0)</f>
        <v>0</v>
      </c>
      <c r="S914" s="14">
        <f>IF(AG914="1",I914,0)</f>
        <v>0</v>
      </c>
      <c r="T914" s="14">
        <f>IF(AG914="7",H914,0)</f>
        <v>0</v>
      </c>
      <c r="U914" s="14">
        <f>IF(AG914="7",I914,0)</f>
        <v>0</v>
      </c>
      <c r="V914" s="14">
        <f>IF(AG914="2",H914,0)</f>
        <v>0</v>
      </c>
      <c r="W914" s="14">
        <f>IF(AG914="2",I914,0)</f>
        <v>0</v>
      </c>
      <c r="X914" s="14">
        <f>IF(AG914="0",J914,0)</f>
        <v>0</v>
      </c>
      <c r="Y914" s="8" t="s">
        <v>407</v>
      </c>
      <c r="Z914" s="5">
        <f>IF(AD914=0,J914,0)</f>
        <v>0</v>
      </c>
      <c r="AA914" s="5">
        <f>IF(AD914=15,J914,0)</f>
        <v>0</v>
      </c>
      <c r="AB914" s="5">
        <f>IF(AD914=21,J914,0)</f>
        <v>0</v>
      </c>
      <c r="AD914" s="14">
        <v>15</v>
      </c>
      <c r="AE914" s="14">
        <f>G914*0.291194968553459</f>
        <v>0</v>
      </c>
      <c r="AF914" s="14">
        <f>G914*(1-0.291194968553459)</f>
        <v>0</v>
      </c>
      <c r="AG914" s="10" t="s">
        <v>13</v>
      </c>
      <c r="AM914" s="14">
        <f>F914*AE914</f>
        <v>0</v>
      </c>
      <c r="AN914" s="14">
        <f>F914*AF914</f>
        <v>0</v>
      </c>
      <c r="AO914" s="15" t="s">
        <v>1711</v>
      </c>
      <c r="AP914" s="15" t="s">
        <v>1748</v>
      </c>
      <c r="AQ914" s="8" t="s">
        <v>1770</v>
      </c>
      <c r="AS914" s="14">
        <f>AM914+AN914</f>
        <v>0</v>
      </c>
      <c r="AT914" s="14">
        <f>G914/(100-AU914)*100</f>
        <v>0</v>
      </c>
      <c r="AU914" s="14">
        <v>0</v>
      </c>
      <c r="AV914" s="14">
        <f>L914</f>
        <v>0.0166175</v>
      </c>
    </row>
    <row r="915" spans="1:13" ht="12.75">
      <c r="A915" s="102"/>
      <c r="B915" s="102"/>
      <c r="C915" s="102"/>
      <c r="D915" s="103" t="s">
        <v>1440</v>
      </c>
      <c r="E915" s="102"/>
      <c r="F915" s="104">
        <v>35.93</v>
      </c>
      <c r="G915" s="102"/>
      <c r="H915" s="102"/>
      <c r="I915" s="102"/>
      <c r="J915" s="102"/>
      <c r="K915" s="102"/>
      <c r="L915" s="102"/>
      <c r="M915" s="102"/>
    </row>
    <row r="916" spans="1:13" ht="12.75">
      <c r="A916" s="102"/>
      <c r="B916" s="102"/>
      <c r="C916" s="102"/>
      <c r="D916" s="103" t="s">
        <v>1512</v>
      </c>
      <c r="E916" s="102"/>
      <c r="F916" s="104">
        <v>69.77</v>
      </c>
      <c r="G916" s="102"/>
      <c r="H916" s="102"/>
      <c r="I916" s="102"/>
      <c r="J916" s="102"/>
      <c r="K916" s="102"/>
      <c r="L916" s="102"/>
      <c r="M916" s="102"/>
    </row>
    <row r="917" spans="1:13" ht="12.75">
      <c r="A917" s="102"/>
      <c r="B917" s="102"/>
      <c r="C917" s="102"/>
      <c r="D917" s="103" t="s">
        <v>1424</v>
      </c>
      <c r="E917" s="102"/>
      <c r="F917" s="104">
        <v>-7.95</v>
      </c>
      <c r="G917" s="102"/>
      <c r="H917" s="102"/>
      <c r="I917" s="102"/>
      <c r="J917" s="102"/>
      <c r="K917" s="102"/>
      <c r="L917" s="102"/>
      <c r="M917" s="102"/>
    </row>
    <row r="918" spans="1:48" ht="12.75">
      <c r="A918" s="99" t="s">
        <v>329</v>
      </c>
      <c r="B918" s="99" t="s">
        <v>407</v>
      </c>
      <c r="C918" s="99" t="s">
        <v>708</v>
      </c>
      <c r="D918" s="99" t="s">
        <v>1513</v>
      </c>
      <c r="E918" s="99" t="s">
        <v>1640</v>
      </c>
      <c r="F918" s="100">
        <v>97.75</v>
      </c>
      <c r="G918" s="100">
        <v>0</v>
      </c>
      <c r="H918" s="100">
        <f>F918*AE918</f>
        <v>0</v>
      </c>
      <c r="I918" s="100">
        <f>J918-H918</f>
        <v>0</v>
      </c>
      <c r="J918" s="100">
        <f>F918*G918</f>
        <v>0</v>
      </c>
      <c r="K918" s="100">
        <v>0.00048</v>
      </c>
      <c r="L918" s="100">
        <f>F918*K918</f>
        <v>0.04692</v>
      </c>
      <c r="M918" s="101" t="s">
        <v>1667</v>
      </c>
      <c r="P918" s="14">
        <f>IF(AG918="5",J918,0)</f>
        <v>0</v>
      </c>
      <c r="R918" s="14">
        <f>IF(AG918="1",H918,0)</f>
        <v>0</v>
      </c>
      <c r="S918" s="14">
        <f>IF(AG918="1",I918,0)</f>
        <v>0</v>
      </c>
      <c r="T918" s="14">
        <f>IF(AG918="7",H918,0)</f>
        <v>0</v>
      </c>
      <c r="U918" s="14">
        <f>IF(AG918="7",I918,0)</f>
        <v>0</v>
      </c>
      <c r="V918" s="14">
        <f>IF(AG918="2",H918,0)</f>
        <v>0</v>
      </c>
      <c r="W918" s="14">
        <f>IF(AG918="2",I918,0)</f>
        <v>0</v>
      </c>
      <c r="X918" s="14">
        <f>IF(AG918="0",J918,0)</f>
        <v>0</v>
      </c>
      <c r="Y918" s="8" t="s">
        <v>407</v>
      </c>
      <c r="Z918" s="5">
        <f>IF(AD918=0,J918,0)</f>
        <v>0</v>
      </c>
      <c r="AA918" s="5">
        <f>IF(AD918=15,J918,0)</f>
        <v>0</v>
      </c>
      <c r="AB918" s="5">
        <f>IF(AD918=21,J918,0)</f>
        <v>0</v>
      </c>
      <c r="AD918" s="14">
        <v>15</v>
      </c>
      <c r="AE918" s="14">
        <f>G918*0.278747628083491</f>
        <v>0</v>
      </c>
      <c r="AF918" s="14">
        <f>G918*(1-0.278747628083491)</f>
        <v>0</v>
      </c>
      <c r="AG918" s="10" t="s">
        <v>13</v>
      </c>
      <c r="AM918" s="14">
        <f>F918*AE918</f>
        <v>0</v>
      </c>
      <c r="AN918" s="14">
        <f>F918*AF918</f>
        <v>0</v>
      </c>
      <c r="AO918" s="15" t="s">
        <v>1711</v>
      </c>
      <c r="AP918" s="15" t="s">
        <v>1748</v>
      </c>
      <c r="AQ918" s="8" t="s">
        <v>1770</v>
      </c>
      <c r="AS918" s="14">
        <f>AM918+AN918</f>
        <v>0</v>
      </c>
      <c r="AT918" s="14">
        <f>G918/(100-AU918)*100</f>
        <v>0</v>
      </c>
      <c r="AU918" s="14">
        <v>0</v>
      </c>
      <c r="AV918" s="14">
        <f>L918</f>
        <v>0.04692</v>
      </c>
    </row>
    <row r="919" spans="1:37" ht="12.75">
      <c r="A919" s="93"/>
      <c r="B919" s="94" t="s">
        <v>407</v>
      </c>
      <c r="C919" s="94" t="s">
        <v>101</v>
      </c>
      <c r="D919" s="95" t="s">
        <v>1372</v>
      </c>
      <c r="E919" s="96"/>
      <c r="F919" s="96"/>
      <c r="G919" s="96"/>
      <c r="H919" s="97">
        <f>SUM(H920:H922)</f>
        <v>0</v>
      </c>
      <c r="I919" s="97">
        <f>SUM(I920:I922)</f>
        <v>0</v>
      </c>
      <c r="J919" s="97">
        <f>H919+I919</f>
        <v>0</v>
      </c>
      <c r="K919" s="98"/>
      <c r="L919" s="97">
        <f>SUM(L920:L922)</f>
        <v>0.00044</v>
      </c>
      <c r="M919" s="98"/>
      <c r="Y919" s="8" t="s">
        <v>407</v>
      </c>
      <c r="AI919" s="16">
        <f>SUM(Z920:Z922)</f>
        <v>0</v>
      </c>
      <c r="AJ919" s="16">
        <f>SUM(AA920:AA922)</f>
        <v>0</v>
      </c>
      <c r="AK919" s="16">
        <f>SUM(AB920:AB922)</f>
        <v>0</v>
      </c>
    </row>
    <row r="920" spans="1:48" ht="12.75">
      <c r="A920" s="99" t="s">
        <v>330</v>
      </c>
      <c r="B920" s="99" t="s">
        <v>407</v>
      </c>
      <c r="C920" s="99" t="s">
        <v>709</v>
      </c>
      <c r="D920" s="99" t="s">
        <v>1514</v>
      </c>
      <c r="E920" s="99" t="s">
        <v>1640</v>
      </c>
      <c r="F920" s="100">
        <v>40.25</v>
      </c>
      <c r="G920" s="100">
        <v>0</v>
      </c>
      <c r="H920" s="100">
        <f>F920*AE920</f>
        <v>0</v>
      </c>
      <c r="I920" s="100">
        <f>J920-H920</f>
        <v>0</v>
      </c>
      <c r="J920" s="100">
        <f>F920*G920</f>
        <v>0</v>
      </c>
      <c r="K920" s="100">
        <v>0</v>
      </c>
      <c r="L920" s="100">
        <f>F920*K920</f>
        <v>0</v>
      </c>
      <c r="M920" s="101" t="s">
        <v>1667</v>
      </c>
      <c r="P920" s="14">
        <f>IF(AG920="5",J920,0)</f>
        <v>0</v>
      </c>
      <c r="R920" s="14">
        <f>IF(AG920="1",H920,0)</f>
        <v>0</v>
      </c>
      <c r="S920" s="14">
        <f>IF(AG920="1",I920,0)</f>
        <v>0</v>
      </c>
      <c r="T920" s="14">
        <f>IF(AG920="7",H920,0)</f>
        <v>0</v>
      </c>
      <c r="U920" s="14">
        <f>IF(AG920="7",I920,0)</f>
        <v>0</v>
      </c>
      <c r="V920" s="14">
        <f>IF(AG920="2",H920,0)</f>
        <v>0</v>
      </c>
      <c r="W920" s="14">
        <f>IF(AG920="2",I920,0)</f>
        <v>0</v>
      </c>
      <c r="X920" s="14">
        <f>IF(AG920="0",J920,0)</f>
        <v>0</v>
      </c>
      <c r="Y920" s="8" t="s">
        <v>407</v>
      </c>
      <c r="Z920" s="5">
        <f>IF(AD920=0,J920,0)</f>
        <v>0</v>
      </c>
      <c r="AA920" s="5">
        <f>IF(AD920=15,J920,0)</f>
        <v>0</v>
      </c>
      <c r="AB920" s="5">
        <f>IF(AD920=21,J920,0)</f>
        <v>0</v>
      </c>
      <c r="AD920" s="14">
        <v>15</v>
      </c>
      <c r="AE920" s="14">
        <f>G920*0.00207792207792208</f>
        <v>0</v>
      </c>
      <c r="AF920" s="14">
        <f>G920*(1-0.00207792207792208)</f>
        <v>0</v>
      </c>
      <c r="AG920" s="10" t="s">
        <v>7</v>
      </c>
      <c r="AM920" s="14">
        <f>F920*AE920</f>
        <v>0</v>
      </c>
      <c r="AN920" s="14">
        <f>F920*AF920</f>
        <v>0</v>
      </c>
      <c r="AO920" s="15" t="s">
        <v>1714</v>
      </c>
      <c r="AP920" s="15" t="s">
        <v>1749</v>
      </c>
      <c r="AQ920" s="8" t="s">
        <v>1770</v>
      </c>
      <c r="AS920" s="14">
        <f>AM920+AN920</f>
        <v>0</v>
      </c>
      <c r="AT920" s="14">
        <f>G920/(100-AU920)*100</f>
        <v>0</v>
      </c>
      <c r="AU920" s="14">
        <v>0</v>
      </c>
      <c r="AV920" s="14">
        <f>L920</f>
        <v>0</v>
      </c>
    </row>
    <row r="921" spans="1:13" ht="12.75">
      <c r="A921" s="102"/>
      <c r="B921" s="102"/>
      <c r="C921" s="102"/>
      <c r="D921" s="103" t="s">
        <v>1468</v>
      </c>
      <c r="E921" s="102"/>
      <c r="F921" s="104">
        <v>40.25</v>
      </c>
      <c r="G921" s="102"/>
      <c r="H921" s="102"/>
      <c r="I921" s="102"/>
      <c r="J921" s="102"/>
      <c r="K921" s="102"/>
      <c r="L921" s="102"/>
      <c r="M921" s="102"/>
    </row>
    <row r="922" spans="1:48" ht="12.75">
      <c r="A922" s="99" t="s">
        <v>331</v>
      </c>
      <c r="B922" s="99" t="s">
        <v>407</v>
      </c>
      <c r="C922" s="99" t="s">
        <v>710</v>
      </c>
      <c r="D922" s="99" t="s">
        <v>1515</v>
      </c>
      <c r="E922" s="99" t="s">
        <v>1641</v>
      </c>
      <c r="F922" s="100">
        <v>1</v>
      </c>
      <c r="G922" s="100">
        <v>0</v>
      </c>
      <c r="H922" s="100">
        <f>F922*AE922</f>
        <v>0</v>
      </c>
      <c r="I922" s="100">
        <f>J922-H922</f>
        <v>0</v>
      </c>
      <c r="J922" s="100">
        <f>F922*G922</f>
        <v>0</v>
      </c>
      <c r="K922" s="100">
        <v>0.00044</v>
      </c>
      <c r="L922" s="100">
        <f>F922*K922</f>
        <v>0.00044</v>
      </c>
      <c r="M922" s="101" t="s">
        <v>1667</v>
      </c>
      <c r="P922" s="14">
        <f>IF(AG922="5",J922,0)</f>
        <v>0</v>
      </c>
      <c r="R922" s="14">
        <f>IF(AG922="1",H922,0)</f>
        <v>0</v>
      </c>
      <c r="S922" s="14">
        <f>IF(AG922="1",I922,0)</f>
        <v>0</v>
      </c>
      <c r="T922" s="14">
        <f>IF(AG922="7",H922,0)</f>
        <v>0</v>
      </c>
      <c r="U922" s="14">
        <f>IF(AG922="7",I922,0)</f>
        <v>0</v>
      </c>
      <c r="V922" s="14">
        <f>IF(AG922="2",H922,0)</f>
        <v>0</v>
      </c>
      <c r="W922" s="14">
        <f>IF(AG922="2",I922,0)</f>
        <v>0</v>
      </c>
      <c r="X922" s="14">
        <f>IF(AG922="0",J922,0)</f>
        <v>0</v>
      </c>
      <c r="Y922" s="8" t="s">
        <v>407</v>
      </c>
      <c r="Z922" s="5">
        <f>IF(AD922=0,J922,0)</f>
        <v>0</v>
      </c>
      <c r="AA922" s="5">
        <f>IF(AD922=15,J922,0)</f>
        <v>0</v>
      </c>
      <c r="AB922" s="5">
        <f>IF(AD922=21,J922,0)</f>
        <v>0</v>
      </c>
      <c r="AD922" s="14">
        <v>15</v>
      </c>
      <c r="AE922" s="14">
        <f>G922*0.0515683814303639</f>
        <v>0</v>
      </c>
      <c r="AF922" s="14">
        <f>G922*(1-0.0515683814303639)</f>
        <v>0</v>
      </c>
      <c r="AG922" s="10" t="s">
        <v>7</v>
      </c>
      <c r="AM922" s="14">
        <f>F922*AE922</f>
        <v>0</v>
      </c>
      <c r="AN922" s="14">
        <f>F922*AF922</f>
        <v>0</v>
      </c>
      <c r="AO922" s="15" t="s">
        <v>1714</v>
      </c>
      <c r="AP922" s="15" t="s">
        <v>1749</v>
      </c>
      <c r="AQ922" s="8" t="s">
        <v>1770</v>
      </c>
      <c r="AS922" s="14">
        <f>AM922+AN922</f>
        <v>0</v>
      </c>
      <c r="AT922" s="14">
        <f>G922/(100-AU922)*100</f>
        <v>0</v>
      </c>
      <c r="AU922" s="14">
        <v>0</v>
      </c>
      <c r="AV922" s="14">
        <f>L922</f>
        <v>0.00044</v>
      </c>
    </row>
    <row r="923" spans="1:13" ht="12.75">
      <c r="A923" s="102"/>
      <c r="B923" s="102"/>
      <c r="C923" s="102"/>
      <c r="D923" s="103" t="s">
        <v>1516</v>
      </c>
      <c r="E923" s="102"/>
      <c r="F923" s="104">
        <v>1</v>
      </c>
      <c r="G923" s="102"/>
      <c r="H923" s="102"/>
      <c r="I923" s="102"/>
      <c r="J923" s="102"/>
      <c r="K923" s="102"/>
      <c r="L923" s="102"/>
      <c r="M923" s="102"/>
    </row>
    <row r="924" spans="1:37" ht="12.75">
      <c r="A924" s="93"/>
      <c r="B924" s="94" t="s">
        <v>407</v>
      </c>
      <c r="C924" s="94" t="s">
        <v>663</v>
      </c>
      <c r="D924" s="95" t="s">
        <v>1377</v>
      </c>
      <c r="E924" s="96"/>
      <c r="F924" s="96"/>
      <c r="G924" s="96"/>
      <c r="H924" s="97">
        <f>SUM(H925:H925)</f>
        <v>0</v>
      </c>
      <c r="I924" s="97">
        <f>SUM(I925:I925)</f>
        <v>0</v>
      </c>
      <c r="J924" s="97">
        <f>H924+I924</f>
        <v>0</v>
      </c>
      <c r="K924" s="98"/>
      <c r="L924" s="97">
        <f>SUM(L925:L925)</f>
        <v>0</v>
      </c>
      <c r="M924" s="98"/>
      <c r="Y924" s="8" t="s">
        <v>407</v>
      </c>
      <c r="AI924" s="16">
        <f>SUM(Z925:Z925)</f>
        <v>0</v>
      </c>
      <c r="AJ924" s="16">
        <f>SUM(AA925:AA925)</f>
        <v>0</v>
      </c>
      <c r="AK924" s="16">
        <f>SUM(AB925:AB925)</f>
        <v>0</v>
      </c>
    </row>
    <row r="925" spans="1:48" ht="12.75">
      <c r="A925" s="99" t="s">
        <v>332</v>
      </c>
      <c r="B925" s="99" t="s">
        <v>407</v>
      </c>
      <c r="C925" s="99" t="s">
        <v>711</v>
      </c>
      <c r="D925" s="99" t="s">
        <v>1517</v>
      </c>
      <c r="E925" s="99" t="s">
        <v>1642</v>
      </c>
      <c r="F925" s="100">
        <v>165</v>
      </c>
      <c r="G925" s="100">
        <v>0</v>
      </c>
      <c r="H925" s="100">
        <f>F925*AE925</f>
        <v>0</v>
      </c>
      <c r="I925" s="100">
        <f>J925-H925</f>
        <v>0</v>
      </c>
      <c r="J925" s="100">
        <f>F925*G925</f>
        <v>0</v>
      </c>
      <c r="K925" s="100">
        <v>0</v>
      </c>
      <c r="L925" s="100">
        <f>F925*K925</f>
        <v>0</v>
      </c>
      <c r="M925" s="101" t="s">
        <v>1667</v>
      </c>
      <c r="P925" s="14">
        <f>IF(AG925="5",J925,0)</f>
        <v>0</v>
      </c>
      <c r="R925" s="14">
        <f>IF(AG925="1",H925,0)</f>
        <v>0</v>
      </c>
      <c r="S925" s="14">
        <f>IF(AG925="1",I925,0)</f>
        <v>0</v>
      </c>
      <c r="T925" s="14">
        <f>IF(AG925="7",H925,0)</f>
        <v>0</v>
      </c>
      <c r="U925" s="14">
        <f>IF(AG925="7",I925,0)</f>
        <v>0</v>
      </c>
      <c r="V925" s="14">
        <f>IF(AG925="2",H925,0)</f>
        <v>0</v>
      </c>
      <c r="W925" s="14">
        <f>IF(AG925="2",I925,0)</f>
        <v>0</v>
      </c>
      <c r="X925" s="14">
        <f>IF(AG925="0",J925,0)</f>
        <v>0</v>
      </c>
      <c r="Y925" s="8" t="s">
        <v>407</v>
      </c>
      <c r="Z925" s="5">
        <f>IF(AD925=0,J925,0)</f>
        <v>0</v>
      </c>
      <c r="AA925" s="5">
        <f>IF(AD925=15,J925,0)</f>
        <v>0</v>
      </c>
      <c r="AB925" s="5">
        <f>IF(AD925=21,J925,0)</f>
        <v>0</v>
      </c>
      <c r="AD925" s="14">
        <v>15</v>
      </c>
      <c r="AE925" s="14">
        <f>G925*0</f>
        <v>0</v>
      </c>
      <c r="AF925" s="14">
        <f>G925*(1-0)</f>
        <v>0</v>
      </c>
      <c r="AG925" s="10" t="s">
        <v>11</v>
      </c>
      <c r="AM925" s="14">
        <f>F925*AE925</f>
        <v>0</v>
      </c>
      <c r="AN925" s="14">
        <f>F925*AF925</f>
        <v>0</v>
      </c>
      <c r="AO925" s="15" t="s">
        <v>1715</v>
      </c>
      <c r="AP925" s="15" t="s">
        <v>1749</v>
      </c>
      <c r="AQ925" s="8" t="s">
        <v>1770</v>
      </c>
      <c r="AS925" s="14">
        <f>AM925+AN925</f>
        <v>0</v>
      </c>
      <c r="AT925" s="14">
        <f>G925/(100-AU925)*100</f>
        <v>0</v>
      </c>
      <c r="AU925" s="14">
        <v>0</v>
      </c>
      <c r="AV925" s="14">
        <f>L925</f>
        <v>0</v>
      </c>
    </row>
    <row r="926" spans="1:13" ht="12.75">
      <c r="A926" s="113"/>
      <c r="B926" s="114" t="s">
        <v>408</v>
      </c>
      <c r="C926" s="114"/>
      <c r="D926" s="115" t="s">
        <v>1518</v>
      </c>
      <c r="E926" s="116"/>
      <c r="F926" s="116"/>
      <c r="G926" s="116"/>
      <c r="H926" s="117">
        <f>H927+H931+H937+H941+H944+H947+H949+H954+H957</f>
        <v>0</v>
      </c>
      <c r="I926" s="117">
        <f>I927+I931+I937+I941+I944+I947+I949+I954+I957</f>
        <v>0</v>
      </c>
      <c r="J926" s="117">
        <f>H926+I926</f>
        <v>0</v>
      </c>
      <c r="K926" s="118"/>
      <c r="L926" s="117">
        <f>L927+L931+L937+L941+L944+L947+L949+L954+L957</f>
        <v>28.6745805</v>
      </c>
      <c r="M926" s="118"/>
    </row>
    <row r="927" spans="1:37" ht="12.75">
      <c r="A927" s="93"/>
      <c r="B927" s="94" t="s">
        <v>408</v>
      </c>
      <c r="C927" s="94" t="s">
        <v>19</v>
      </c>
      <c r="D927" s="95" t="s">
        <v>781</v>
      </c>
      <c r="E927" s="96"/>
      <c r="F927" s="96"/>
      <c r="G927" s="96"/>
      <c r="H927" s="97">
        <f>SUM(H928:H930)</f>
        <v>0</v>
      </c>
      <c r="I927" s="97">
        <f>SUM(I928:I930)</f>
        <v>0</v>
      </c>
      <c r="J927" s="97">
        <f>H927+I927</f>
        <v>0</v>
      </c>
      <c r="K927" s="98"/>
      <c r="L927" s="97">
        <f>SUM(L928:L930)</f>
        <v>0</v>
      </c>
      <c r="M927" s="98"/>
      <c r="Y927" s="8" t="s">
        <v>408</v>
      </c>
      <c r="AI927" s="16">
        <f>SUM(Z928:Z930)</f>
        <v>0</v>
      </c>
      <c r="AJ927" s="16">
        <f>SUM(AA928:AA930)</f>
        <v>0</v>
      </c>
      <c r="AK927" s="16">
        <f>SUM(AB928:AB930)</f>
        <v>0</v>
      </c>
    </row>
    <row r="928" spans="1:48" ht="12.75">
      <c r="A928" s="99" t="s">
        <v>333</v>
      </c>
      <c r="B928" s="99" t="s">
        <v>408</v>
      </c>
      <c r="C928" s="99" t="s">
        <v>420</v>
      </c>
      <c r="D928" s="99" t="s">
        <v>783</v>
      </c>
      <c r="E928" s="99" t="s">
        <v>1639</v>
      </c>
      <c r="F928" s="100">
        <v>7.48</v>
      </c>
      <c r="G928" s="100">
        <v>0</v>
      </c>
      <c r="H928" s="100">
        <f>F928*AE928</f>
        <v>0</v>
      </c>
      <c r="I928" s="100">
        <f>J928-H928</f>
        <v>0</v>
      </c>
      <c r="J928" s="100">
        <f>F928*G928</f>
        <v>0</v>
      </c>
      <c r="K928" s="100">
        <v>0</v>
      </c>
      <c r="L928" s="100">
        <f>F928*K928</f>
        <v>0</v>
      </c>
      <c r="M928" s="101" t="s">
        <v>1667</v>
      </c>
      <c r="P928" s="14">
        <f>IF(AG928="5",J928,0)</f>
        <v>0</v>
      </c>
      <c r="R928" s="14">
        <f>IF(AG928="1",H928,0)</f>
        <v>0</v>
      </c>
      <c r="S928" s="14">
        <f>IF(AG928="1",I928,0)</f>
        <v>0</v>
      </c>
      <c r="T928" s="14">
        <f>IF(AG928="7",H928,0)</f>
        <v>0</v>
      </c>
      <c r="U928" s="14">
        <f>IF(AG928="7",I928,0)</f>
        <v>0</v>
      </c>
      <c r="V928" s="14">
        <f>IF(AG928="2",H928,0)</f>
        <v>0</v>
      </c>
      <c r="W928" s="14">
        <f>IF(AG928="2",I928,0)</f>
        <v>0</v>
      </c>
      <c r="X928" s="14">
        <f>IF(AG928="0",J928,0)</f>
        <v>0</v>
      </c>
      <c r="Y928" s="8" t="s">
        <v>408</v>
      </c>
      <c r="Z928" s="5">
        <f>IF(AD928=0,J928,0)</f>
        <v>0</v>
      </c>
      <c r="AA928" s="5">
        <f>IF(AD928=15,J928,0)</f>
        <v>0</v>
      </c>
      <c r="AB928" s="5">
        <f>IF(AD928=21,J928,0)</f>
        <v>0</v>
      </c>
      <c r="AD928" s="14">
        <v>15</v>
      </c>
      <c r="AE928" s="14">
        <f>G928*0</f>
        <v>0</v>
      </c>
      <c r="AF928" s="14">
        <f>G928*(1-0)</f>
        <v>0</v>
      </c>
      <c r="AG928" s="10" t="s">
        <v>7</v>
      </c>
      <c r="AM928" s="14">
        <f>F928*AE928</f>
        <v>0</v>
      </c>
      <c r="AN928" s="14">
        <f>F928*AF928</f>
        <v>0</v>
      </c>
      <c r="AO928" s="15" t="s">
        <v>1682</v>
      </c>
      <c r="AP928" s="15" t="s">
        <v>1750</v>
      </c>
      <c r="AQ928" s="8" t="s">
        <v>1771</v>
      </c>
      <c r="AS928" s="14">
        <f>AM928+AN928</f>
        <v>0</v>
      </c>
      <c r="AT928" s="14">
        <f>G928/(100-AU928)*100</f>
        <v>0</v>
      </c>
      <c r="AU928" s="14">
        <v>0</v>
      </c>
      <c r="AV928" s="14">
        <f>L928</f>
        <v>0</v>
      </c>
    </row>
    <row r="929" spans="1:13" ht="12.75">
      <c r="A929" s="102"/>
      <c r="B929" s="102"/>
      <c r="C929" s="102"/>
      <c r="D929" s="103" t="s">
        <v>1519</v>
      </c>
      <c r="E929" s="102"/>
      <c r="F929" s="104">
        <v>7.48</v>
      </c>
      <c r="G929" s="102"/>
      <c r="H929" s="102"/>
      <c r="I929" s="102"/>
      <c r="J929" s="102"/>
      <c r="K929" s="102"/>
      <c r="L929" s="102"/>
      <c r="M929" s="102"/>
    </row>
    <row r="930" spans="1:48" ht="12.75">
      <c r="A930" s="99" t="s">
        <v>334</v>
      </c>
      <c r="B930" s="99" t="s">
        <v>408</v>
      </c>
      <c r="C930" s="99" t="s">
        <v>419</v>
      </c>
      <c r="D930" s="99" t="s">
        <v>782</v>
      </c>
      <c r="E930" s="99" t="s">
        <v>1639</v>
      </c>
      <c r="F930" s="100">
        <v>7.48</v>
      </c>
      <c r="G930" s="100">
        <v>0</v>
      </c>
      <c r="H930" s="100">
        <f>F930*AE930</f>
        <v>0</v>
      </c>
      <c r="I930" s="100">
        <f>J930-H930</f>
        <v>0</v>
      </c>
      <c r="J930" s="100">
        <f>F930*G930</f>
        <v>0</v>
      </c>
      <c r="K930" s="100">
        <v>0</v>
      </c>
      <c r="L930" s="100">
        <f>F930*K930</f>
        <v>0</v>
      </c>
      <c r="M930" s="101" t="s">
        <v>1667</v>
      </c>
      <c r="P930" s="14">
        <f>IF(AG930="5",J930,0)</f>
        <v>0</v>
      </c>
      <c r="R930" s="14">
        <f>IF(AG930="1",H930,0)</f>
        <v>0</v>
      </c>
      <c r="S930" s="14">
        <f>IF(AG930="1",I930,0)</f>
        <v>0</v>
      </c>
      <c r="T930" s="14">
        <f>IF(AG930="7",H930,0)</f>
        <v>0</v>
      </c>
      <c r="U930" s="14">
        <f>IF(AG930="7",I930,0)</f>
        <v>0</v>
      </c>
      <c r="V930" s="14">
        <f>IF(AG930="2",H930,0)</f>
        <v>0</v>
      </c>
      <c r="W930" s="14">
        <f>IF(AG930="2",I930,0)</f>
        <v>0</v>
      </c>
      <c r="X930" s="14">
        <f>IF(AG930="0",J930,0)</f>
        <v>0</v>
      </c>
      <c r="Y930" s="8" t="s">
        <v>408</v>
      </c>
      <c r="Z930" s="5">
        <f>IF(AD930=0,J930,0)</f>
        <v>0</v>
      </c>
      <c r="AA930" s="5">
        <f>IF(AD930=15,J930,0)</f>
        <v>0</v>
      </c>
      <c r="AB930" s="5">
        <f>IF(AD930=21,J930,0)</f>
        <v>0</v>
      </c>
      <c r="AD930" s="14">
        <v>15</v>
      </c>
      <c r="AE930" s="14">
        <f>G930*0</f>
        <v>0</v>
      </c>
      <c r="AF930" s="14">
        <f>G930*(1-0)</f>
        <v>0</v>
      </c>
      <c r="AG930" s="10" t="s">
        <v>7</v>
      </c>
      <c r="AM930" s="14">
        <f>F930*AE930</f>
        <v>0</v>
      </c>
      <c r="AN930" s="14">
        <f>F930*AF930</f>
        <v>0</v>
      </c>
      <c r="AO930" s="15" t="s">
        <v>1682</v>
      </c>
      <c r="AP930" s="15" t="s">
        <v>1750</v>
      </c>
      <c r="AQ930" s="8" t="s">
        <v>1771</v>
      </c>
      <c r="AS930" s="14">
        <f>AM930+AN930</f>
        <v>0</v>
      </c>
      <c r="AT930" s="14">
        <f>G930/(100-AU930)*100</f>
        <v>0</v>
      </c>
      <c r="AU930" s="14">
        <v>0</v>
      </c>
      <c r="AV930" s="14">
        <f>L930</f>
        <v>0</v>
      </c>
    </row>
    <row r="931" spans="1:37" ht="12.75">
      <c r="A931" s="93"/>
      <c r="B931" s="94" t="s">
        <v>408</v>
      </c>
      <c r="C931" s="94" t="s">
        <v>22</v>
      </c>
      <c r="D931" s="95" t="s">
        <v>795</v>
      </c>
      <c r="E931" s="96"/>
      <c r="F931" s="96"/>
      <c r="G931" s="96"/>
      <c r="H931" s="97">
        <f>SUM(H932:H936)</f>
        <v>0</v>
      </c>
      <c r="I931" s="97">
        <f>SUM(I932:I936)</f>
        <v>0</v>
      </c>
      <c r="J931" s="97">
        <f>H931+I931</f>
        <v>0</v>
      </c>
      <c r="K931" s="98"/>
      <c r="L931" s="97">
        <f>SUM(L932:L936)</f>
        <v>0</v>
      </c>
      <c r="M931" s="98"/>
      <c r="Y931" s="8" t="s">
        <v>408</v>
      </c>
      <c r="AI931" s="16">
        <f>SUM(Z932:Z936)</f>
        <v>0</v>
      </c>
      <c r="AJ931" s="16">
        <f>SUM(AA932:AA936)</f>
        <v>0</v>
      </c>
      <c r="AK931" s="16">
        <f>SUM(AB932:AB936)</f>
        <v>0</v>
      </c>
    </row>
    <row r="932" spans="1:48" ht="12.75">
      <c r="A932" s="99" t="s">
        <v>335</v>
      </c>
      <c r="B932" s="99" t="s">
        <v>408</v>
      </c>
      <c r="C932" s="99" t="s">
        <v>421</v>
      </c>
      <c r="D932" s="99" t="s">
        <v>796</v>
      </c>
      <c r="E932" s="99" t="s">
        <v>1639</v>
      </c>
      <c r="F932" s="100">
        <v>6.98</v>
      </c>
      <c r="G932" s="100">
        <v>0</v>
      </c>
      <c r="H932" s="100">
        <f>F932*AE932</f>
        <v>0</v>
      </c>
      <c r="I932" s="100">
        <f>J932-H932</f>
        <v>0</v>
      </c>
      <c r="J932" s="100">
        <f>F932*G932</f>
        <v>0</v>
      </c>
      <c r="K932" s="100">
        <v>0</v>
      </c>
      <c r="L932" s="100">
        <f>F932*K932</f>
        <v>0</v>
      </c>
      <c r="M932" s="101" t="s">
        <v>1667</v>
      </c>
      <c r="P932" s="14">
        <f>IF(AG932="5",J932,0)</f>
        <v>0</v>
      </c>
      <c r="R932" s="14">
        <f>IF(AG932="1",H932,0)</f>
        <v>0</v>
      </c>
      <c r="S932" s="14">
        <f>IF(AG932="1",I932,0)</f>
        <v>0</v>
      </c>
      <c r="T932" s="14">
        <f>IF(AG932="7",H932,0)</f>
        <v>0</v>
      </c>
      <c r="U932" s="14">
        <f>IF(AG932="7",I932,0)</f>
        <v>0</v>
      </c>
      <c r="V932" s="14">
        <f>IF(AG932="2",H932,0)</f>
        <v>0</v>
      </c>
      <c r="W932" s="14">
        <f>IF(AG932="2",I932,0)</f>
        <v>0</v>
      </c>
      <c r="X932" s="14">
        <f>IF(AG932="0",J932,0)</f>
        <v>0</v>
      </c>
      <c r="Y932" s="8" t="s">
        <v>408</v>
      </c>
      <c r="Z932" s="5">
        <f>IF(AD932=0,J932,0)</f>
        <v>0</v>
      </c>
      <c r="AA932" s="5">
        <f>IF(AD932=15,J932,0)</f>
        <v>0</v>
      </c>
      <c r="AB932" s="5">
        <f>IF(AD932=21,J932,0)</f>
        <v>0</v>
      </c>
      <c r="AD932" s="14">
        <v>15</v>
      </c>
      <c r="AE932" s="14">
        <f>G932*0</f>
        <v>0</v>
      </c>
      <c r="AF932" s="14">
        <f>G932*(1-0)</f>
        <v>0</v>
      </c>
      <c r="AG932" s="10" t="s">
        <v>7</v>
      </c>
      <c r="AM932" s="14">
        <f>F932*AE932</f>
        <v>0</v>
      </c>
      <c r="AN932" s="14">
        <f>F932*AF932</f>
        <v>0</v>
      </c>
      <c r="AO932" s="15" t="s">
        <v>1683</v>
      </c>
      <c r="AP932" s="15" t="s">
        <v>1750</v>
      </c>
      <c r="AQ932" s="8" t="s">
        <v>1771</v>
      </c>
      <c r="AS932" s="14">
        <f>AM932+AN932</f>
        <v>0</v>
      </c>
      <c r="AT932" s="14">
        <f>G932/(100-AU932)*100</f>
        <v>0</v>
      </c>
      <c r="AU932" s="14">
        <v>0</v>
      </c>
      <c r="AV932" s="14">
        <f>L932</f>
        <v>0</v>
      </c>
    </row>
    <row r="933" spans="1:13" ht="12.75">
      <c r="A933" s="102"/>
      <c r="B933" s="102"/>
      <c r="C933" s="102"/>
      <c r="D933" s="103" t="s">
        <v>1520</v>
      </c>
      <c r="E933" s="102"/>
      <c r="F933" s="104">
        <v>11.22</v>
      </c>
      <c r="G933" s="102"/>
      <c r="H933" s="102"/>
      <c r="I933" s="102"/>
      <c r="J933" s="102"/>
      <c r="K933" s="102"/>
      <c r="L933" s="102"/>
      <c r="M933" s="102"/>
    </row>
    <row r="934" spans="1:13" ht="12.75">
      <c r="A934" s="102"/>
      <c r="B934" s="102"/>
      <c r="C934" s="102"/>
      <c r="D934" s="103" t="s">
        <v>1521</v>
      </c>
      <c r="E934" s="102"/>
      <c r="F934" s="104">
        <v>-7.48</v>
      </c>
      <c r="G934" s="102"/>
      <c r="H934" s="102"/>
      <c r="I934" s="102"/>
      <c r="J934" s="102"/>
      <c r="K934" s="102"/>
      <c r="L934" s="102"/>
      <c r="M934" s="102"/>
    </row>
    <row r="935" spans="1:13" ht="12.75">
      <c r="A935" s="102"/>
      <c r="B935" s="102"/>
      <c r="C935" s="102"/>
      <c r="D935" s="103" t="s">
        <v>1522</v>
      </c>
      <c r="E935" s="102"/>
      <c r="F935" s="104">
        <v>3.24</v>
      </c>
      <c r="G935" s="102"/>
      <c r="H935" s="102"/>
      <c r="I935" s="102"/>
      <c r="J935" s="102"/>
      <c r="K935" s="102"/>
      <c r="L935" s="102"/>
      <c r="M935" s="102"/>
    </row>
    <row r="936" spans="1:48" ht="12.75">
      <c r="A936" s="99" t="s">
        <v>336</v>
      </c>
      <c r="B936" s="99" t="s">
        <v>408</v>
      </c>
      <c r="C936" s="99" t="s">
        <v>712</v>
      </c>
      <c r="D936" s="99" t="s">
        <v>1523</v>
      </c>
      <c r="E936" s="99" t="s">
        <v>1639</v>
      </c>
      <c r="F936" s="100">
        <v>6.98</v>
      </c>
      <c r="G936" s="100">
        <v>0</v>
      </c>
      <c r="H936" s="100">
        <f>F936*AE936</f>
        <v>0</v>
      </c>
      <c r="I936" s="100">
        <f>J936-H936</f>
        <v>0</v>
      </c>
      <c r="J936" s="100">
        <f>F936*G936</f>
        <v>0</v>
      </c>
      <c r="K936" s="100">
        <v>0</v>
      </c>
      <c r="L936" s="100">
        <f>F936*K936</f>
        <v>0</v>
      </c>
      <c r="M936" s="101" t="s">
        <v>1667</v>
      </c>
      <c r="P936" s="14">
        <f>IF(AG936="5",J936,0)</f>
        <v>0</v>
      </c>
      <c r="R936" s="14">
        <f>IF(AG936="1",H936,0)</f>
        <v>0</v>
      </c>
      <c r="S936" s="14">
        <f>IF(AG936="1",I936,0)</f>
        <v>0</v>
      </c>
      <c r="T936" s="14">
        <f>IF(AG936="7",H936,0)</f>
        <v>0</v>
      </c>
      <c r="U936" s="14">
        <f>IF(AG936="7",I936,0)</f>
        <v>0</v>
      </c>
      <c r="V936" s="14">
        <f>IF(AG936="2",H936,0)</f>
        <v>0</v>
      </c>
      <c r="W936" s="14">
        <f>IF(AG936="2",I936,0)</f>
        <v>0</v>
      </c>
      <c r="X936" s="14">
        <f>IF(AG936="0",J936,0)</f>
        <v>0</v>
      </c>
      <c r="Y936" s="8" t="s">
        <v>408</v>
      </c>
      <c r="Z936" s="5">
        <f>IF(AD936=0,J936,0)</f>
        <v>0</v>
      </c>
      <c r="AA936" s="5">
        <f>IF(AD936=15,J936,0)</f>
        <v>0</v>
      </c>
      <c r="AB936" s="5">
        <f>IF(AD936=21,J936,0)</f>
        <v>0</v>
      </c>
      <c r="AD936" s="14">
        <v>15</v>
      </c>
      <c r="AE936" s="14">
        <f>G936*0</f>
        <v>0</v>
      </c>
      <c r="AF936" s="14">
        <f>G936*(1-0)</f>
        <v>0</v>
      </c>
      <c r="AG936" s="10" t="s">
        <v>7</v>
      </c>
      <c r="AM936" s="14">
        <f>F936*AE936</f>
        <v>0</v>
      </c>
      <c r="AN936" s="14">
        <f>F936*AF936</f>
        <v>0</v>
      </c>
      <c r="AO936" s="15" t="s">
        <v>1683</v>
      </c>
      <c r="AP936" s="15" t="s">
        <v>1750</v>
      </c>
      <c r="AQ936" s="8" t="s">
        <v>1771</v>
      </c>
      <c r="AS936" s="14">
        <f>AM936+AN936</f>
        <v>0</v>
      </c>
      <c r="AT936" s="14">
        <f>G936/(100-AU936)*100</f>
        <v>0</v>
      </c>
      <c r="AU936" s="14">
        <v>0</v>
      </c>
      <c r="AV936" s="14">
        <f>L936</f>
        <v>0</v>
      </c>
    </row>
    <row r="937" spans="1:37" ht="12.75">
      <c r="A937" s="93"/>
      <c r="B937" s="94" t="s">
        <v>408</v>
      </c>
      <c r="C937" s="94" t="s">
        <v>23</v>
      </c>
      <c r="D937" s="95" t="s">
        <v>803</v>
      </c>
      <c r="E937" s="96"/>
      <c r="F937" s="96"/>
      <c r="G937" s="96"/>
      <c r="H937" s="97">
        <f>SUM(H938:H940)</f>
        <v>0</v>
      </c>
      <c r="I937" s="97">
        <f>SUM(I938:I940)</f>
        <v>0</v>
      </c>
      <c r="J937" s="97">
        <f>H937+I937</f>
        <v>0</v>
      </c>
      <c r="K937" s="98"/>
      <c r="L937" s="97">
        <f>SUM(L938:L940)</f>
        <v>0</v>
      </c>
      <c r="M937" s="98"/>
      <c r="Y937" s="8" t="s">
        <v>408</v>
      </c>
      <c r="AI937" s="16">
        <f>SUM(Z938:Z940)</f>
        <v>0</v>
      </c>
      <c r="AJ937" s="16">
        <f>SUM(AA938:AA940)</f>
        <v>0</v>
      </c>
      <c r="AK937" s="16">
        <f>SUM(AB938:AB940)</f>
        <v>0</v>
      </c>
    </row>
    <row r="938" spans="1:48" ht="12.75">
      <c r="A938" s="99" t="s">
        <v>337</v>
      </c>
      <c r="B938" s="99" t="s">
        <v>408</v>
      </c>
      <c r="C938" s="99" t="s">
        <v>713</v>
      </c>
      <c r="D938" s="99" t="s">
        <v>1524</v>
      </c>
      <c r="E938" s="99" t="s">
        <v>1639</v>
      </c>
      <c r="F938" s="100">
        <v>11.22</v>
      </c>
      <c r="G938" s="100">
        <v>0</v>
      </c>
      <c r="H938" s="100">
        <f>F938*AE938</f>
        <v>0</v>
      </c>
      <c r="I938" s="100">
        <f>J938-H938</f>
        <v>0</v>
      </c>
      <c r="J938" s="100">
        <f>F938*G938</f>
        <v>0</v>
      </c>
      <c r="K938" s="100">
        <v>0</v>
      </c>
      <c r="L938" s="100">
        <f>F938*K938</f>
        <v>0</v>
      </c>
      <c r="M938" s="101" t="s">
        <v>1667</v>
      </c>
      <c r="P938" s="14">
        <f>IF(AG938="5",J938,0)</f>
        <v>0</v>
      </c>
      <c r="R938" s="14">
        <f>IF(AG938="1",H938,0)</f>
        <v>0</v>
      </c>
      <c r="S938" s="14">
        <f>IF(AG938="1",I938,0)</f>
        <v>0</v>
      </c>
      <c r="T938" s="14">
        <f>IF(AG938="7",H938,0)</f>
        <v>0</v>
      </c>
      <c r="U938" s="14">
        <f>IF(AG938="7",I938,0)</f>
        <v>0</v>
      </c>
      <c r="V938" s="14">
        <f>IF(AG938="2",H938,0)</f>
        <v>0</v>
      </c>
      <c r="W938" s="14">
        <f>IF(AG938="2",I938,0)</f>
        <v>0</v>
      </c>
      <c r="X938" s="14">
        <f>IF(AG938="0",J938,0)</f>
        <v>0</v>
      </c>
      <c r="Y938" s="8" t="s">
        <v>408</v>
      </c>
      <c r="Z938" s="5">
        <f>IF(AD938=0,J938,0)</f>
        <v>0</v>
      </c>
      <c r="AA938" s="5">
        <f>IF(AD938=15,J938,0)</f>
        <v>0</v>
      </c>
      <c r="AB938" s="5">
        <f>IF(AD938=21,J938,0)</f>
        <v>0</v>
      </c>
      <c r="AD938" s="14">
        <v>15</v>
      </c>
      <c r="AE938" s="14">
        <f>G938*0</f>
        <v>0</v>
      </c>
      <c r="AF938" s="14">
        <f>G938*(1-0)</f>
        <v>0</v>
      </c>
      <c r="AG938" s="10" t="s">
        <v>7</v>
      </c>
      <c r="AM938" s="14">
        <f>F938*AE938</f>
        <v>0</v>
      </c>
      <c r="AN938" s="14">
        <f>F938*AF938</f>
        <v>0</v>
      </c>
      <c r="AO938" s="15" t="s">
        <v>1684</v>
      </c>
      <c r="AP938" s="15" t="s">
        <v>1750</v>
      </c>
      <c r="AQ938" s="8" t="s">
        <v>1771</v>
      </c>
      <c r="AS938" s="14">
        <f>AM938+AN938</f>
        <v>0</v>
      </c>
      <c r="AT938" s="14">
        <f>G938/(100-AU938)*100</f>
        <v>0</v>
      </c>
      <c r="AU938" s="14">
        <v>0</v>
      </c>
      <c r="AV938" s="14">
        <f>L938</f>
        <v>0</v>
      </c>
    </row>
    <row r="939" spans="1:13" ht="12.75">
      <c r="A939" s="102"/>
      <c r="B939" s="102"/>
      <c r="C939" s="102"/>
      <c r="D939" s="103" t="s">
        <v>1525</v>
      </c>
      <c r="E939" s="102"/>
      <c r="F939" s="104">
        <v>11.22</v>
      </c>
      <c r="G939" s="102"/>
      <c r="H939" s="102"/>
      <c r="I939" s="102"/>
      <c r="J939" s="102"/>
      <c r="K939" s="102"/>
      <c r="L939" s="102"/>
      <c r="M939" s="102"/>
    </row>
    <row r="940" spans="1:48" ht="12.75">
      <c r="A940" s="99" t="s">
        <v>338</v>
      </c>
      <c r="B940" s="99" t="s">
        <v>408</v>
      </c>
      <c r="C940" s="99" t="s">
        <v>714</v>
      </c>
      <c r="D940" s="99" t="s">
        <v>1526</v>
      </c>
      <c r="E940" s="99" t="s">
        <v>1639</v>
      </c>
      <c r="F940" s="100">
        <v>2.56</v>
      </c>
      <c r="G940" s="100">
        <v>0</v>
      </c>
      <c r="H940" s="100">
        <f>F940*AE940</f>
        <v>0</v>
      </c>
      <c r="I940" s="100">
        <f>J940-H940</f>
        <v>0</v>
      </c>
      <c r="J940" s="100">
        <f>F940*G940</f>
        <v>0</v>
      </c>
      <c r="K940" s="100">
        <v>0</v>
      </c>
      <c r="L940" s="100">
        <f>F940*K940</f>
        <v>0</v>
      </c>
      <c r="M940" s="101" t="s">
        <v>1667</v>
      </c>
      <c r="P940" s="14">
        <f>IF(AG940="5",J940,0)</f>
        <v>0</v>
      </c>
      <c r="R940" s="14">
        <f>IF(AG940="1",H940,0)</f>
        <v>0</v>
      </c>
      <c r="S940" s="14">
        <f>IF(AG940="1",I940,0)</f>
        <v>0</v>
      </c>
      <c r="T940" s="14">
        <f>IF(AG940="7",H940,0)</f>
        <v>0</v>
      </c>
      <c r="U940" s="14">
        <f>IF(AG940="7",I940,0)</f>
        <v>0</v>
      </c>
      <c r="V940" s="14">
        <f>IF(AG940="2",H940,0)</f>
        <v>0</v>
      </c>
      <c r="W940" s="14">
        <f>IF(AG940="2",I940,0)</f>
        <v>0</v>
      </c>
      <c r="X940" s="14">
        <f>IF(AG940="0",J940,0)</f>
        <v>0</v>
      </c>
      <c r="Y940" s="8" t="s">
        <v>408</v>
      </c>
      <c r="Z940" s="5">
        <f>IF(AD940=0,J940,0)</f>
        <v>0</v>
      </c>
      <c r="AA940" s="5">
        <f>IF(AD940=15,J940,0)</f>
        <v>0</v>
      </c>
      <c r="AB940" s="5">
        <f>IF(AD940=21,J940,0)</f>
        <v>0</v>
      </c>
      <c r="AD940" s="14">
        <v>15</v>
      </c>
      <c r="AE940" s="14">
        <f>G940*0</f>
        <v>0</v>
      </c>
      <c r="AF940" s="14">
        <f>G940*(1-0)</f>
        <v>0</v>
      </c>
      <c r="AG940" s="10" t="s">
        <v>7</v>
      </c>
      <c r="AM940" s="14">
        <f>F940*AE940</f>
        <v>0</v>
      </c>
      <c r="AN940" s="14">
        <f>F940*AF940</f>
        <v>0</v>
      </c>
      <c r="AO940" s="15" t="s">
        <v>1684</v>
      </c>
      <c r="AP940" s="15" t="s">
        <v>1750</v>
      </c>
      <c r="AQ940" s="8" t="s">
        <v>1771</v>
      </c>
      <c r="AS940" s="14">
        <f>AM940+AN940</f>
        <v>0</v>
      </c>
      <c r="AT940" s="14">
        <f>G940/(100-AU940)*100</f>
        <v>0</v>
      </c>
      <c r="AU940" s="14">
        <v>0</v>
      </c>
      <c r="AV940" s="14">
        <f>L940</f>
        <v>0</v>
      </c>
    </row>
    <row r="941" spans="1:37" ht="12.75">
      <c r="A941" s="93"/>
      <c r="B941" s="94" t="s">
        <v>408</v>
      </c>
      <c r="C941" s="94" t="s">
        <v>24</v>
      </c>
      <c r="D941" s="95" t="s">
        <v>1527</v>
      </c>
      <c r="E941" s="96"/>
      <c r="F941" s="96"/>
      <c r="G941" s="96"/>
      <c r="H941" s="97">
        <f>SUM(H942:H942)</f>
        <v>0</v>
      </c>
      <c r="I941" s="97">
        <f>SUM(I942:I942)</f>
        <v>0</v>
      </c>
      <c r="J941" s="97">
        <f>H941+I941</f>
        <v>0</v>
      </c>
      <c r="K941" s="98"/>
      <c r="L941" s="97">
        <f>SUM(L942:L942)</f>
        <v>0</v>
      </c>
      <c r="M941" s="98"/>
      <c r="Y941" s="8" t="s">
        <v>408</v>
      </c>
      <c r="AI941" s="16">
        <f>SUM(Z942:Z942)</f>
        <v>0</v>
      </c>
      <c r="AJ941" s="16">
        <f>SUM(AA942:AA942)</f>
        <v>0</v>
      </c>
      <c r="AK941" s="16">
        <f>SUM(AB942:AB942)</f>
        <v>0</v>
      </c>
    </row>
    <row r="942" spans="1:48" ht="12.75">
      <c r="A942" s="99" t="s">
        <v>339</v>
      </c>
      <c r="B942" s="99" t="s">
        <v>408</v>
      </c>
      <c r="C942" s="99" t="s">
        <v>715</v>
      </c>
      <c r="D942" s="99" t="s">
        <v>1528</v>
      </c>
      <c r="E942" s="99" t="s">
        <v>1640</v>
      </c>
      <c r="F942" s="100">
        <v>21.62</v>
      </c>
      <c r="G942" s="100">
        <v>0</v>
      </c>
      <c r="H942" s="100">
        <f>F942*AE942</f>
        <v>0</v>
      </c>
      <c r="I942" s="100">
        <f>J942-H942</f>
        <v>0</v>
      </c>
      <c r="J942" s="100">
        <f>F942*G942</f>
        <v>0</v>
      </c>
      <c r="K942" s="100">
        <v>0</v>
      </c>
      <c r="L942" s="100">
        <f>F942*K942</f>
        <v>0</v>
      </c>
      <c r="M942" s="101" t="s">
        <v>1667</v>
      </c>
      <c r="P942" s="14">
        <f>IF(AG942="5",J942,0)</f>
        <v>0</v>
      </c>
      <c r="R942" s="14">
        <f>IF(AG942="1",H942,0)</f>
        <v>0</v>
      </c>
      <c r="S942" s="14">
        <f>IF(AG942="1",I942,0)</f>
        <v>0</v>
      </c>
      <c r="T942" s="14">
        <f>IF(AG942="7",H942,0)</f>
        <v>0</v>
      </c>
      <c r="U942" s="14">
        <f>IF(AG942="7",I942,0)</f>
        <v>0</v>
      </c>
      <c r="V942" s="14">
        <f>IF(AG942="2",H942,0)</f>
        <v>0</v>
      </c>
      <c r="W942" s="14">
        <f>IF(AG942="2",I942,0)</f>
        <v>0</v>
      </c>
      <c r="X942" s="14">
        <f>IF(AG942="0",J942,0)</f>
        <v>0</v>
      </c>
      <c r="Y942" s="8" t="s">
        <v>408</v>
      </c>
      <c r="Z942" s="5">
        <f>IF(AD942=0,J942,0)</f>
        <v>0</v>
      </c>
      <c r="AA942" s="5">
        <f>IF(AD942=15,J942,0)</f>
        <v>0</v>
      </c>
      <c r="AB942" s="5">
        <f>IF(AD942=21,J942,0)</f>
        <v>0</v>
      </c>
      <c r="AD942" s="14">
        <v>15</v>
      </c>
      <c r="AE942" s="14">
        <f>G942*0</f>
        <v>0</v>
      </c>
      <c r="AF942" s="14">
        <f>G942*(1-0)</f>
        <v>0</v>
      </c>
      <c r="AG942" s="10" t="s">
        <v>7</v>
      </c>
      <c r="AM942" s="14">
        <f>F942*AE942</f>
        <v>0</v>
      </c>
      <c r="AN942" s="14">
        <f>F942*AF942</f>
        <v>0</v>
      </c>
      <c r="AO942" s="15" t="s">
        <v>1718</v>
      </c>
      <c r="AP942" s="15" t="s">
        <v>1750</v>
      </c>
      <c r="AQ942" s="8" t="s">
        <v>1771</v>
      </c>
      <c r="AS942" s="14">
        <f>AM942+AN942</f>
        <v>0</v>
      </c>
      <c r="AT942" s="14">
        <f>G942/(100-AU942)*100</f>
        <v>0</v>
      </c>
      <c r="AU942" s="14">
        <v>0</v>
      </c>
      <c r="AV942" s="14">
        <f>L942</f>
        <v>0</v>
      </c>
    </row>
    <row r="943" spans="1:13" ht="12.75">
      <c r="A943" s="102"/>
      <c r="B943" s="102"/>
      <c r="C943" s="102"/>
      <c r="D943" s="103" t="s">
        <v>1529</v>
      </c>
      <c r="E943" s="102"/>
      <c r="F943" s="104">
        <v>21.62</v>
      </c>
      <c r="G943" s="102"/>
      <c r="H943" s="102"/>
      <c r="I943" s="102"/>
      <c r="J943" s="102"/>
      <c r="K943" s="102"/>
      <c r="L943" s="102"/>
      <c r="M943" s="102"/>
    </row>
    <row r="944" spans="1:37" ht="12.75">
      <c r="A944" s="93"/>
      <c r="B944" s="94" t="s">
        <v>408</v>
      </c>
      <c r="C944" s="94" t="s">
        <v>33</v>
      </c>
      <c r="D944" s="95" t="s">
        <v>806</v>
      </c>
      <c r="E944" s="96"/>
      <c r="F944" s="96"/>
      <c r="G944" s="96"/>
      <c r="H944" s="97">
        <f>SUM(H945:H945)</f>
        <v>0</v>
      </c>
      <c r="I944" s="97">
        <f>SUM(I945:I945)</f>
        <v>0</v>
      </c>
      <c r="J944" s="97">
        <f>H944+I944</f>
        <v>0</v>
      </c>
      <c r="K944" s="98"/>
      <c r="L944" s="97">
        <f>SUM(L945:L945)</f>
        <v>18.887</v>
      </c>
      <c r="M944" s="98"/>
      <c r="Y944" s="8" t="s">
        <v>408</v>
      </c>
      <c r="AI944" s="16">
        <f>SUM(Z945:Z945)</f>
        <v>0</v>
      </c>
      <c r="AJ944" s="16">
        <f>SUM(AA945:AA945)</f>
        <v>0</v>
      </c>
      <c r="AK944" s="16">
        <f>SUM(AB945:AB945)</f>
        <v>0</v>
      </c>
    </row>
    <row r="945" spans="1:48" ht="12.75">
      <c r="A945" s="99" t="s">
        <v>340</v>
      </c>
      <c r="B945" s="99" t="s">
        <v>408</v>
      </c>
      <c r="C945" s="99" t="s">
        <v>426</v>
      </c>
      <c r="D945" s="99" t="s">
        <v>807</v>
      </c>
      <c r="E945" s="99" t="s">
        <v>1639</v>
      </c>
      <c r="F945" s="100">
        <v>7.48</v>
      </c>
      <c r="G945" s="100">
        <v>0</v>
      </c>
      <c r="H945" s="100">
        <f>F945*AE945</f>
        <v>0</v>
      </c>
      <c r="I945" s="100">
        <f>J945-H945</f>
        <v>0</v>
      </c>
      <c r="J945" s="100">
        <f>F945*G945</f>
        <v>0</v>
      </c>
      <c r="K945" s="100">
        <v>2.525</v>
      </c>
      <c r="L945" s="100">
        <f>F945*K945</f>
        <v>18.887</v>
      </c>
      <c r="M945" s="101" t="s">
        <v>1667</v>
      </c>
      <c r="P945" s="14">
        <f>IF(AG945="5",J945,0)</f>
        <v>0</v>
      </c>
      <c r="R945" s="14">
        <f>IF(AG945="1",H945,0)</f>
        <v>0</v>
      </c>
      <c r="S945" s="14">
        <f>IF(AG945="1",I945,0)</f>
        <v>0</v>
      </c>
      <c r="T945" s="14">
        <f>IF(AG945="7",H945,0)</f>
        <v>0</v>
      </c>
      <c r="U945" s="14">
        <f>IF(AG945="7",I945,0)</f>
        <v>0</v>
      </c>
      <c r="V945" s="14">
        <f>IF(AG945="2",H945,0)</f>
        <v>0</v>
      </c>
      <c r="W945" s="14">
        <f>IF(AG945="2",I945,0)</f>
        <v>0</v>
      </c>
      <c r="X945" s="14">
        <f>IF(AG945="0",J945,0)</f>
        <v>0</v>
      </c>
      <c r="Y945" s="8" t="s">
        <v>408</v>
      </c>
      <c r="Z945" s="5">
        <f>IF(AD945=0,J945,0)</f>
        <v>0</v>
      </c>
      <c r="AA945" s="5">
        <f>IF(AD945=15,J945,0)</f>
        <v>0</v>
      </c>
      <c r="AB945" s="5">
        <f>IF(AD945=21,J945,0)</f>
        <v>0</v>
      </c>
      <c r="AD945" s="14">
        <v>15</v>
      </c>
      <c r="AE945" s="14">
        <f>G945*0.90135139169037</f>
        <v>0</v>
      </c>
      <c r="AF945" s="14">
        <f>G945*(1-0.90135139169037)</f>
        <v>0</v>
      </c>
      <c r="AG945" s="10" t="s">
        <v>7</v>
      </c>
      <c r="AM945" s="14">
        <f>F945*AE945</f>
        <v>0</v>
      </c>
      <c r="AN945" s="14">
        <f>F945*AF945</f>
        <v>0</v>
      </c>
      <c r="AO945" s="15" t="s">
        <v>1685</v>
      </c>
      <c r="AP945" s="15" t="s">
        <v>1751</v>
      </c>
      <c r="AQ945" s="8" t="s">
        <v>1771</v>
      </c>
      <c r="AS945" s="14">
        <f>AM945+AN945</f>
        <v>0</v>
      </c>
      <c r="AT945" s="14">
        <f>G945/(100-AU945)*100</f>
        <v>0</v>
      </c>
      <c r="AU945" s="14">
        <v>0</v>
      </c>
      <c r="AV945" s="14">
        <f>L945</f>
        <v>18.887</v>
      </c>
    </row>
    <row r="946" spans="1:13" ht="12.75">
      <c r="A946" s="102"/>
      <c r="B946" s="102"/>
      <c r="C946" s="102"/>
      <c r="D946" s="103" t="s">
        <v>1530</v>
      </c>
      <c r="E946" s="102"/>
      <c r="F946" s="104">
        <v>7.48</v>
      </c>
      <c r="G946" s="102"/>
      <c r="H946" s="102"/>
      <c r="I946" s="102"/>
      <c r="J946" s="102"/>
      <c r="K946" s="102"/>
      <c r="L946" s="102"/>
      <c r="M946" s="102"/>
    </row>
    <row r="947" spans="1:37" ht="12.75">
      <c r="A947" s="93"/>
      <c r="B947" s="94" t="s">
        <v>408</v>
      </c>
      <c r="C947" s="94" t="s">
        <v>37</v>
      </c>
      <c r="D947" s="95" t="s">
        <v>840</v>
      </c>
      <c r="E947" s="96"/>
      <c r="F947" s="96"/>
      <c r="G947" s="96"/>
      <c r="H947" s="97">
        <f>SUM(H948:H948)</f>
        <v>0</v>
      </c>
      <c r="I947" s="97">
        <f>SUM(I948:I948)</f>
        <v>0</v>
      </c>
      <c r="J947" s="97">
        <f>H947+I947</f>
        <v>0</v>
      </c>
      <c r="K947" s="98"/>
      <c r="L947" s="97">
        <f>SUM(L948:L948)</f>
        <v>0.1734493</v>
      </c>
      <c r="M947" s="98"/>
      <c r="Y947" s="8" t="s">
        <v>408</v>
      </c>
      <c r="AI947" s="16">
        <f>SUM(Z948:Z948)</f>
        <v>0</v>
      </c>
      <c r="AJ947" s="16">
        <f>SUM(AA948:AA948)</f>
        <v>0</v>
      </c>
      <c r="AK947" s="16">
        <f>SUM(AB948:AB948)</f>
        <v>0</v>
      </c>
    </row>
    <row r="948" spans="1:48" ht="12.75">
      <c r="A948" s="99" t="s">
        <v>341</v>
      </c>
      <c r="B948" s="99" t="s">
        <v>408</v>
      </c>
      <c r="C948" s="99" t="s">
        <v>716</v>
      </c>
      <c r="D948" s="99" t="s">
        <v>1531</v>
      </c>
      <c r="E948" s="99" t="s">
        <v>1642</v>
      </c>
      <c r="F948" s="100">
        <v>0.17</v>
      </c>
      <c r="G948" s="100">
        <v>0</v>
      </c>
      <c r="H948" s="100">
        <f>F948*AE948</f>
        <v>0</v>
      </c>
      <c r="I948" s="100">
        <f>J948-H948</f>
        <v>0</v>
      </c>
      <c r="J948" s="100">
        <f>F948*G948</f>
        <v>0</v>
      </c>
      <c r="K948" s="100">
        <v>1.02029</v>
      </c>
      <c r="L948" s="100">
        <f>F948*K948</f>
        <v>0.1734493</v>
      </c>
      <c r="M948" s="101" t="s">
        <v>1667</v>
      </c>
      <c r="P948" s="14">
        <f>IF(AG948="5",J948,0)</f>
        <v>0</v>
      </c>
      <c r="R948" s="14">
        <f>IF(AG948="1",H948,0)</f>
        <v>0</v>
      </c>
      <c r="S948" s="14">
        <f>IF(AG948="1",I948,0)</f>
        <v>0</v>
      </c>
      <c r="T948" s="14">
        <f>IF(AG948="7",H948,0)</f>
        <v>0</v>
      </c>
      <c r="U948" s="14">
        <f>IF(AG948="7",I948,0)</f>
        <v>0</v>
      </c>
      <c r="V948" s="14">
        <f>IF(AG948="2",H948,0)</f>
        <v>0</v>
      </c>
      <c r="W948" s="14">
        <f>IF(AG948="2",I948,0)</f>
        <v>0</v>
      </c>
      <c r="X948" s="14">
        <f>IF(AG948="0",J948,0)</f>
        <v>0</v>
      </c>
      <c r="Y948" s="8" t="s">
        <v>408</v>
      </c>
      <c r="Z948" s="5">
        <f>IF(AD948=0,J948,0)</f>
        <v>0</v>
      </c>
      <c r="AA948" s="5">
        <f>IF(AD948=15,J948,0)</f>
        <v>0</v>
      </c>
      <c r="AB948" s="5">
        <f>IF(AD948=21,J948,0)</f>
        <v>0</v>
      </c>
      <c r="AD948" s="14">
        <v>15</v>
      </c>
      <c r="AE948" s="14">
        <f>G948*0.69246156193836</f>
        <v>0</v>
      </c>
      <c r="AF948" s="14">
        <f>G948*(1-0.69246156193836)</f>
        <v>0</v>
      </c>
      <c r="AG948" s="10" t="s">
        <v>7</v>
      </c>
      <c r="AM948" s="14">
        <f>F948*AE948</f>
        <v>0</v>
      </c>
      <c r="AN948" s="14">
        <f>F948*AF948</f>
        <v>0</v>
      </c>
      <c r="AO948" s="15" t="s">
        <v>1686</v>
      </c>
      <c r="AP948" s="15" t="s">
        <v>1752</v>
      </c>
      <c r="AQ948" s="8" t="s">
        <v>1771</v>
      </c>
      <c r="AS948" s="14">
        <f>AM948+AN948</f>
        <v>0</v>
      </c>
      <c r="AT948" s="14">
        <f>G948/(100-AU948)*100</f>
        <v>0</v>
      </c>
      <c r="AU948" s="14">
        <v>0</v>
      </c>
      <c r="AV948" s="14">
        <f>L948</f>
        <v>0.1734493</v>
      </c>
    </row>
    <row r="949" spans="1:37" ht="12.75">
      <c r="A949" s="93"/>
      <c r="B949" s="94" t="s">
        <v>408</v>
      </c>
      <c r="C949" s="94" t="s">
        <v>40</v>
      </c>
      <c r="D949" s="95" t="s">
        <v>886</v>
      </c>
      <c r="E949" s="96"/>
      <c r="F949" s="96"/>
      <c r="G949" s="96"/>
      <c r="H949" s="97">
        <f>SUM(H950:H952)</f>
        <v>0</v>
      </c>
      <c r="I949" s="97">
        <f>SUM(I950:I952)</f>
        <v>0</v>
      </c>
      <c r="J949" s="97">
        <f>H949+I949</f>
        <v>0</v>
      </c>
      <c r="K949" s="98"/>
      <c r="L949" s="97">
        <f>SUM(L950:L952)</f>
        <v>9.609066599999998</v>
      </c>
      <c r="M949" s="98"/>
      <c r="Y949" s="8" t="s">
        <v>408</v>
      </c>
      <c r="AI949" s="16">
        <f>SUM(Z950:Z952)</f>
        <v>0</v>
      </c>
      <c r="AJ949" s="16">
        <f>SUM(AA950:AA952)</f>
        <v>0</v>
      </c>
      <c r="AK949" s="16">
        <f>SUM(AB950:AB952)</f>
        <v>0</v>
      </c>
    </row>
    <row r="950" spans="1:48" ht="12.75">
      <c r="A950" s="99" t="s">
        <v>342</v>
      </c>
      <c r="B950" s="99" t="s">
        <v>408</v>
      </c>
      <c r="C950" s="99" t="s">
        <v>717</v>
      </c>
      <c r="D950" s="99" t="s">
        <v>1532</v>
      </c>
      <c r="E950" s="99" t="s">
        <v>1640</v>
      </c>
      <c r="F950" s="100">
        <v>23.63</v>
      </c>
      <c r="G950" s="100">
        <v>0</v>
      </c>
      <c r="H950" s="100">
        <f>F950*AE950</f>
        <v>0</v>
      </c>
      <c r="I950" s="100">
        <f>J950-H950</f>
        <v>0</v>
      </c>
      <c r="J950" s="100">
        <f>F950*G950</f>
        <v>0</v>
      </c>
      <c r="K950" s="100">
        <v>0.36372</v>
      </c>
      <c r="L950" s="100">
        <f>F950*K950</f>
        <v>8.594703599999999</v>
      </c>
      <c r="M950" s="101" t="s">
        <v>1667</v>
      </c>
      <c r="P950" s="14">
        <f>IF(AG950="5",J950,0)</f>
        <v>0</v>
      </c>
      <c r="R950" s="14">
        <f>IF(AG950="1",H950,0)</f>
        <v>0</v>
      </c>
      <c r="S950" s="14">
        <f>IF(AG950="1",I950,0)</f>
        <v>0</v>
      </c>
      <c r="T950" s="14">
        <f>IF(AG950="7",H950,0)</f>
        <v>0</v>
      </c>
      <c r="U950" s="14">
        <f>IF(AG950="7",I950,0)</f>
        <v>0</v>
      </c>
      <c r="V950" s="14">
        <f>IF(AG950="2",H950,0)</f>
        <v>0</v>
      </c>
      <c r="W950" s="14">
        <f>IF(AG950="2",I950,0)</f>
        <v>0</v>
      </c>
      <c r="X950" s="14">
        <f>IF(AG950="0",J950,0)</f>
        <v>0</v>
      </c>
      <c r="Y950" s="8" t="s">
        <v>408</v>
      </c>
      <c r="Z950" s="5">
        <f>IF(AD950=0,J950,0)</f>
        <v>0</v>
      </c>
      <c r="AA950" s="5">
        <f>IF(AD950=15,J950,0)</f>
        <v>0</v>
      </c>
      <c r="AB950" s="5">
        <f>IF(AD950=21,J950,0)</f>
        <v>0</v>
      </c>
      <c r="AD950" s="14">
        <v>15</v>
      </c>
      <c r="AE950" s="14">
        <f>G950*0.755379362670713</f>
        <v>0</v>
      </c>
      <c r="AF950" s="14">
        <f>G950*(1-0.755379362670713)</f>
        <v>0</v>
      </c>
      <c r="AG950" s="10" t="s">
        <v>7</v>
      </c>
      <c r="AM950" s="14">
        <f>F950*AE950</f>
        <v>0</v>
      </c>
      <c r="AN950" s="14">
        <f>F950*AF950</f>
        <v>0</v>
      </c>
      <c r="AO950" s="15" t="s">
        <v>1687</v>
      </c>
      <c r="AP950" s="15" t="s">
        <v>1752</v>
      </c>
      <c r="AQ950" s="8" t="s">
        <v>1771</v>
      </c>
      <c r="AS950" s="14">
        <f>AM950+AN950</f>
        <v>0</v>
      </c>
      <c r="AT950" s="14">
        <f>G950/(100-AU950)*100</f>
        <v>0</v>
      </c>
      <c r="AU950" s="14">
        <v>0</v>
      </c>
      <c r="AV950" s="14">
        <f>L950</f>
        <v>8.594703599999999</v>
      </c>
    </row>
    <row r="951" spans="1:13" ht="12.75">
      <c r="A951" s="102"/>
      <c r="B951" s="102"/>
      <c r="C951" s="102"/>
      <c r="D951" s="103" t="s">
        <v>1533</v>
      </c>
      <c r="E951" s="102"/>
      <c r="F951" s="104">
        <v>23.63</v>
      </c>
      <c r="G951" s="102"/>
      <c r="H951" s="102"/>
      <c r="I951" s="102"/>
      <c r="J951" s="102"/>
      <c r="K951" s="102"/>
      <c r="L951" s="102"/>
      <c r="M951" s="102"/>
    </row>
    <row r="952" spans="1:48" ht="12.75">
      <c r="A952" s="99" t="s">
        <v>343</v>
      </c>
      <c r="B952" s="99" t="s">
        <v>408</v>
      </c>
      <c r="C952" s="99" t="s">
        <v>718</v>
      </c>
      <c r="D952" s="99" t="s">
        <v>1534</v>
      </c>
      <c r="E952" s="99" t="s">
        <v>1643</v>
      </c>
      <c r="F952" s="100">
        <v>18.9</v>
      </c>
      <c r="G952" s="100">
        <v>0</v>
      </c>
      <c r="H952" s="100">
        <f>F952*AE952</f>
        <v>0</v>
      </c>
      <c r="I952" s="100">
        <f>J952-H952</f>
        <v>0</v>
      </c>
      <c r="J952" s="100">
        <f>F952*G952</f>
        <v>0</v>
      </c>
      <c r="K952" s="100">
        <v>0.05367</v>
      </c>
      <c r="L952" s="100">
        <f>F952*K952</f>
        <v>1.014363</v>
      </c>
      <c r="M952" s="101" t="s">
        <v>1667</v>
      </c>
      <c r="P952" s="14">
        <f>IF(AG952="5",J952,0)</f>
        <v>0</v>
      </c>
      <c r="R952" s="14">
        <f>IF(AG952="1",H952,0)</f>
        <v>0</v>
      </c>
      <c r="S952" s="14">
        <f>IF(AG952="1",I952,0)</f>
        <v>0</v>
      </c>
      <c r="T952" s="14">
        <f>IF(AG952="7",H952,0)</f>
        <v>0</v>
      </c>
      <c r="U952" s="14">
        <f>IF(AG952="7",I952,0)</f>
        <v>0</v>
      </c>
      <c r="V952" s="14">
        <f>IF(AG952="2",H952,0)</f>
        <v>0</v>
      </c>
      <c r="W952" s="14">
        <f>IF(AG952="2",I952,0)</f>
        <v>0</v>
      </c>
      <c r="X952" s="14">
        <f>IF(AG952="0",J952,0)</f>
        <v>0</v>
      </c>
      <c r="Y952" s="8" t="s">
        <v>408</v>
      </c>
      <c r="Z952" s="5">
        <f>IF(AD952=0,J952,0)</f>
        <v>0</v>
      </c>
      <c r="AA952" s="5">
        <f>IF(AD952=15,J952,0)</f>
        <v>0</v>
      </c>
      <c r="AB952" s="5">
        <f>IF(AD952=21,J952,0)</f>
        <v>0</v>
      </c>
      <c r="AD952" s="14">
        <v>15</v>
      </c>
      <c r="AE952" s="14">
        <f>G952*0.825149572649573</f>
        <v>0</v>
      </c>
      <c r="AF952" s="14">
        <f>G952*(1-0.825149572649573)</f>
        <v>0</v>
      </c>
      <c r="AG952" s="10" t="s">
        <v>7</v>
      </c>
      <c r="AM952" s="14">
        <f>F952*AE952</f>
        <v>0</v>
      </c>
      <c r="AN952" s="14">
        <f>F952*AF952</f>
        <v>0</v>
      </c>
      <c r="AO952" s="15" t="s">
        <v>1687</v>
      </c>
      <c r="AP952" s="15" t="s">
        <v>1752</v>
      </c>
      <c r="AQ952" s="8" t="s">
        <v>1771</v>
      </c>
      <c r="AS952" s="14">
        <f>AM952+AN952</f>
        <v>0</v>
      </c>
      <c r="AT952" s="14">
        <f>G952/(100-AU952)*100</f>
        <v>0</v>
      </c>
      <c r="AU952" s="14">
        <v>0</v>
      </c>
      <c r="AV952" s="14">
        <f>L952</f>
        <v>1.014363</v>
      </c>
    </row>
    <row r="953" spans="1:13" ht="12.75">
      <c r="A953" s="102"/>
      <c r="B953" s="102"/>
      <c r="C953" s="102"/>
      <c r="D953" s="103" t="s">
        <v>1535</v>
      </c>
      <c r="E953" s="102"/>
      <c r="F953" s="104">
        <v>18.9</v>
      </c>
      <c r="G953" s="102"/>
      <c r="H953" s="102"/>
      <c r="I953" s="102"/>
      <c r="J953" s="102"/>
      <c r="K953" s="102"/>
      <c r="L953" s="102"/>
      <c r="M953" s="102"/>
    </row>
    <row r="954" spans="1:37" ht="12.75">
      <c r="A954" s="93"/>
      <c r="B954" s="94" t="s">
        <v>408</v>
      </c>
      <c r="C954" s="94" t="s">
        <v>493</v>
      </c>
      <c r="D954" s="95" t="s">
        <v>1047</v>
      </c>
      <c r="E954" s="96"/>
      <c r="F954" s="96"/>
      <c r="G954" s="96"/>
      <c r="H954" s="97">
        <f>SUM(H955:H955)</f>
        <v>0</v>
      </c>
      <c r="I954" s="97">
        <f>SUM(I955:I955)</f>
        <v>0</v>
      </c>
      <c r="J954" s="97">
        <f>H954+I954</f>
        <v>0</v>
      </c>
      <c r="K954" s="98"/>
      <c r="L954" s="97">
        <f>SUM(L955:L955)</f>
        <v>0.0050646</v>
      </c>
      <c r="M954" s="98"/>
      <c r="Y954" s="8" t="s">
        <v>408</v>
      </c>
      <c r="AI954" s="16">
        <f>SUM(Z955:Z955)</f>
        <v>0</v>
      </c>
      <c r="AJ954" s="16">
        <f>SUM(AA955:AA955)</f>
        <v>0</v>
      </c>
      <c r="AK954" s="16">
        <f>SUM(AB955:AB955)</f>
        <v>0</v>
      </c>
    </row>
    <row r="955" spans="1:48" ht="12.75">
      <c r="A955" s="99" t="s">
        <v>344</v>
      </c>
      <c r="B955" s="99" t="s">
        <v>408</v>
      </c>
      <c r="C955" s="99" t="s">
        <v>719</v>
      </c>
      <c r="D955" s="99" t="s">
        <v>1536</v>
      </c>
      <c r="E955" s="99" t="s">
        <v>1640</v>
      </c>
      <c r="F955" s="100">
        <v>22.02</v>
      </c>
      <c r="G955" s="100">
        <v>0</v>
      </c>
      <c r="H955" s="100">
        <f>F955*AE955</f>
        <v>0</v>
      </c>
      <c r="I955" s="100">
        <f>J955-H955</f>
        <v>0</v>
      </c>
      <c r="J955" s="100">
        <f>F955*G955</f>
        <v>0</v>
      </c>
      <c r="K955" s="100">
        <v>0.00023</v>
      </c>
      <c r="L955" s="100">
        <f>F955*K955</f>
        <v>0.0050646</v>
      </c>
      <c r="M955" s="101" t="s">
        <v>1667</v>
      </c>
      <c r="P955" s="14">
        <f>IF(AG955="5",J955,0)</f>
        <v>0</v>
      </c>
      <c r="R955" s="14">
        <f>IF(AG955="1",H955,0)</f>
        <v>0</v>
      </c>
      <c r="S955" s="14">
        <f>IF(AG955="1",I955,0)</f>
        <v>0</v>
      </c>
      <c r="T955" s="14">
        <f>IF(AG955="7",H955,0)</f>
        <v>0</v>
      </c>
      <c r="U955" s="14">
        <f>IF(AG955="7",I955,0)</f>
        <v>0</v>
      </c>
      <c r="V955" s="14">
        <f>IF(AG955="2",H955,0)</f>
        <v>0</v>
      </c>
      <c r="W955" s="14">
        <f>IF(AG955="2",I955,0)</f>
        <v>0</v>
      </c>
      <c r="X955" s="14">
        <f>IF(AG955="0",J955,0)</f>
        <v>0</v>
      </c>
      <c r="Y955" s="8" t="s">
        <v>408</v>
      </c>
      <c r="Z955" s="5">
        <f>IF(AD955=0,J955,0)</f>
        <v>0</v>
      </c>
      <c r="AA955" s="5">
        <f>IF(AD955=15,J955,0)</f>
        <v>0</v>
      </c>
      <c r="AB955" s="5">
        <f>IF(AD955=21,J955,0)</f>
        <v>0</v>
      </c>
      <c r="AD955" s="14">
        <v>15</v>
      </c>
      <c r="AE955" s="14">
        <f>G955*0.453649289099526</f>
        <v>0</v>
      </c>
      <c r="AF955" s="14">
        <f>G955*(1-0.453649289099526)</f>
        <v>0</v>
      </c>
      <c r="AG955" s="10" t="s">
        <v>13</v>
      </c>
      <c r="AM955" s="14">
        <f>F955*AE955</f>
        <v>0</v>
      </c>
      <c r="AN955" s="14">
        <f>F955*AF955</f>
        <v>0</v>
      </c>
      <c r="AO955" s="15" t="s">
        <v>1694</v>
      </c>
      <c r="AP955" s="15" t="s">
        <v>1753</v>
      </c>
      <c r="AQ955" s="8" t="s">
        <v>1771</v>
      </c>
      <c r="AS955" s="14">
        <f>AM955+AN955</f>
        <v>0</v>
      </c>
      <c r="AT955" s="14">
        <f>G955/(100-AU955)*100</f>
        <v>0</v>
      </c>
      <c r="AU955" s="14">
        <v>0</v>
      </c>
      <c r="AV955" s="14">
        <f>L955</f>
        <v>0.0050646</v>
      </c>
    </row>
    <row r="956" spans="1:13" ht="12.75">
      <c r="A956" s="102"/>
      <c r="B956" s="102"/>
      <c r="C956" s="102"/>
      <c r="D956" s="103" t="s">
        <v>1537</v>
      </c>
      <c r="E956" s="102"/>
      <c r="F956" s="104">
        <v>22.02</v>
      </c>
      <c r="G956" s="102"/>
      <c r="H956" s="102"/>
      <c r="I956" s="102"/>
      <c r="J956" s="102"/>
      <c r="K956" s="102"/>
      <c r="L956" s="102"/>
      <c r="M956" s="102"/>
    </row>
    <row r="957" spans="1:37" ht="12.75">
      <c r="A957" s="93"/>
      <c r="B957" s="94" t="s">
        <v>408</v>
      </c>
      <c r="C957" s="94" t="s">
        <v>720</v>
      </c>
      <c r="D957" s="95" t="s">
        <v>1538</v>
      </c>
      <c r="E957" s="96"/>
      <c r="F957" s="96"/>
      <c r="G957" s="96"/>
      <c r="H957" s="97">
        <f>SUM(H958:H958)</f>
        <v>0</v>
      </c>
      <c r="I957" s="97">
        <f>SUM(I958:I958)</f>
        <v>0</v>
      </c>
      <c r="J957" s="97">
        <f>H957+I957</f>
        <v>0</v>
      </c>
      <c r="K957" s="98"/>
      <c r="L957" s="97">
        <f>SUM(L958:L958)</f>
        <v>0</v>
      </c>
      <c r="M957" s="98"/>
      <c r="Y957" s="8" t="s">
        <v>408</v>
      </c>
      <c r="AI957" s="16">
        <f>SUM(Z958:Z958)</f>
        <v>0</v>
      </c>
      <c r="AJ957" s="16">
        <f>SUM(AA958:AA958)</f>
        <v>0</v>
      </c>
      <c r="AK957" s="16">
        <f>SUM(AB958:AB958)</f>
        <v>0</v>
      </c>
    </row>
    <row r="958" spans="1:48" ht="12.75">
      <c r="A958" s="99" t="s">
        <v>345</v>
      </c>
      <c r="B958" s="99" t="s">
        <v>408</v>
      </c>
      <c r="C958" s="99" t="s">
        <v>721</v>
      </c>
      <c r="D958" s="99" t="s">
        <v>1539</v>
      </c>
      <c r="E958" s="99" t="s">
        <v>1642</v>
      </c>
      <c r="F958" s="100">
        <v>28.67</v>
      </c>
      <c r="G958" s="100">
        <v>0</v>
      </c>
      <c r="H958" s="100">
        <f>F958*AE958</f>
        <v>0</v>
      </c>
      <c r="I958" s="100">
        <f>J958-H958</f>
        <v>0</v>
      </c>
      <c r="J958" s="100">
        <f>F958*G958</f>
        <v>0</v>
      </c>
      <c r="K958" s="100">
        <v>0</v>
      </c>
      <c r="L958" s="100">
        <f>F958*K958</f>
        <v>0</v>
      </c>
      <c r="M958" s="101" t="s">
        <v>1667</v>
      </c>
      <c r="P958" s="14">
        <f>IF(AG958="5",J958,0)</f>
        <v>0</v>
      </c>
      <c r="R958" s="14">
        <f>IF(AG958="1",H958,0)</f>
        <v>0</v>
      </c>
      <c r="S958" s="14">
        <f>IF(AG958="1",I958,0)</f>
        <v>0</v>
      </c>
      <c r="T958" s="14">
        <f>IF(AG958="7",H958,0)</f>
        <v>0</v>
      </c>
      <c r="U958" s="14">
        <f>IF(AG958="7",I958,0)</f>
        <v>0</v>
      </c>
      <c r="V958" s="14">
        <f>IF(AG958="2",H958,0)</f>
        <v>0</v>
      </c>
      <c r="W958" s="14">
        <f>IF(AG958="2",I958,0)</f>
        <v>0</v>
      </c>
      <c r="X958" s="14">
        <f>IF(AG958="0",J958,0)</f>
        <v>0</v>
      </c>
      <c r="Y958" s="8" t="s">
        <v>408</v>
      </c>
      <c r="Z958" s="5">
        <f>IF(AD958=0,J958,0)</f>
        <v>0</v>
      </c>
      <c r="AA958" s="5">
        <f>IF(AD958=15,J958,0)</f>
        <v>0</v>
      </c>
      <c r="AB958" s="5">
        <f>IF(AD958=21,J958,0)</f>
        <v>0</v>
      </c>
      <c r="AD958" s="14">
        <v>15</v>
      </c>
      <c r="AE958" s="14">
        <f>G958*0</f>
        <v>0</v>
      </c>
      <c r="AF958" s="14">
        <f>G958*(1-0)</f>
        <v>0</v>
      </c>
      <c r="AG958" s="10" t="s">
        <v>11</v>
      </c>
      <c r="AM958" s="14">
        <f>F958*AE958</f>
        <v>0</v>
      </c>
      <c r="AN958" s="14">
        <f>F958*AF958</f>
        <v>0</v>
      </c>
      <c r="AO958" s="15" t="s">
        <v>1719</v>
      </c>
      <c r="AP958" s="15" t="s">
        <v>1754</v>
      </c>
      <c r="AQ958" s="8" t="s">
        <v>1771</v>
      </c>
      <c r="AS958" s="14">
        <f>AM958+AN958</f>
        <v>0</v>
      </c>
      <c r="AT958" s="14">
        <f>G958/(100-AU958)*100</f>
        <v>0</v>
      </c>
      <c r="AU958" s="14">
        <v>0</v>
      </c>
      <c r="AV958" s="14">
        <f>L958</f>
        <v>0</v>
      </c>
    </row>
    <row r="959" spans="1:13" ht="12.75">
      <c r="A959" s="113"/>
      <c r="B959" s="114" t="s">
        <v>409</v>
      </c>
      <c r="C959" s="114"/>
      <c r="D959" s="115" t="s">
        <v>1540</v>
      </c>
      <c r="E959" s="116"/>
      <c r="F959" s="116"/>
      <c r="G959" s="116"/>
      <c r="H959" s="117">
        <f>H960+H964+H968+H970+H974+H983+H999+H1007</f>
        <v>0</v>
      </c>
      <c r="I959" s="117">
        <f>I960+I964+I968+I970+I974+I983+I999+I1007</f>
        <v>0</v>
      </c>
      <c r="J959" s="117">
        <f>H959+I959</f>
        <v>0</v>
      </c>
      <c r="K959" s="118"/>
      <c r="L959" s="117">
        <f>L960+L964+L968+L970+L974+L983+L999+L1007</f>
        <v>121.354079</v>
      </c>
      <c r="M959" s="118"/>
    </row>
    <row r="960" spans="1:37" ht="12.75">
      <c r="A960" s="93"/>
      <c r="B960" s="94" t="s">
        <v>409</v>
      </c>
      <c r="C960" s="94" t="s">
        <v>18</v>
      </c>
      <c r="D960" s="95" t="s">
        <v>774</v>
      </c>
      <c r="E960" s="96"/>
      <c r="F960" s="96"/>
      <c r="G960" s="96"/>
      <c r="H960" s="97">
        <f>SUM(H961:H963)</f>
        <v>0</v>
      </c>
      <c r="I960" s="97">
        <f>SUM(I961:I963)</f>
        <v>0</v>
      </c>
      <c r="J960" s="97">
        <f>H960+I960</f>
        <v>0</v>
      </c>
      <c r="K960" s="98"/>
      <c r="L960" s="97">
        <f>SUM(L961:L963)</f>
        <v>0</v>
      </c>
      <c r="M960" s="98"/>
      <c r="Y960" s="8" t="s">
        <v>409</v>
      </c>
      <c r="AI960" s="16">
        <f>SUM(Z961:Z963)</f>
        <v>0</v>
      </c>
      <c r="AJ960" s="16">
        <f>SUM(AA961:AA963)</f>
        <v>0</v>
      </c>
      <c r="AK960" s="16">
        <f>SUM(AB961:AB963)</f>
        <v>0</v>
      </c>
    </row>
    <row r="961" spans="1:48" ht="12.75">
      <c r="A961" s="99" t="s">
        <v>346</v>
      </c>
      <c r="B961" s="99" t="s">
        <v>409</v>
      </c>
      <c r="C961" s="99" t="s">
        <v>417</v>
      </c>
      <c r="D961" s="99" t="s">
        <v>778</v>
      </c>
      <c r="E961" s="99" t="s">
        <v>1639</v>
      </c>
      <c r="F961" s="100">
        <v>18.2</v>
      </c>
      <c r="G961" s="100">
        <v>0</v>
      </c>
      <c r="H961" s="100">
        <f>F961*AE961</f>
        <v>0</v>
      </c>
      <c r="I961" s="100">
        <f>J961-H961</f>
        <v>0</v>
      </c>
      <c r="J961" s="100">
        <f>F961*G961</f>
        <v>0</v>
      </c>
      <c r="K961" s="100">
        <v>0</v>
      </c>
      <c r="L961" s="100">
        <f>F961*K961</f>
        <v>0</v>
      </c>
      <c r="M961" s="101" t="s">
        <v>1667</v>
      </c>
      <c r="P961" s="14">
        <f>IF(AG961="5",J961,0)</f>
        <v>0</v>
      </c>
      <c r="R961" s="14">
        <f>IF(AG961="1",H961,0)</f>
        <v>0</v>
      </c>
      <c r="S961" s="14">
        <f>IF(AG961="1",I961,0)</f>
        <v>0</v>
      </c>
      <c r="T961" s="14">
        <f>IF(AG961="7",H961,0)</f>
        <v>0</v>
      </c>
      <c r="U961" s="14">
        <f>IF(AG961="7",I961,0)</f>
        <v>0</v>
      </c>
      <c r="V961" s="14">
        <f>IF(AG961="2",H961,0)</f>
        <v>0</v>
      </c>
      <c r="W961" s="14">
        <f>IF(AG961="2",I961,0)</f>
        <v>0</v>
      </c>
      <c r="X961" s="14">
        <f>IF(AG961="0",J961,0)</f>
        <v>0</v>
      </c>
      <c r="Y961" s="8" t="s">
        <v>409</v>
      </c>
      <c r="Z961" s="5">
        <f>IF(AD961=0,J961,0)</f>
        <v>0</v>
      </c>
      <c r="AA961" s="5">
        <f>IF(AD961=15,J961,0)</f>
        <v>0</v>
      </c>
      <c r="AB961" s="5">
        <f>IF(AD961=21,J961,0)</f>
        <v>0</v>
      </c>
      <c r="AD961" s="14">
        <v>15</v>
      </c>
      <c r="AE961" s="14">
        <f>G961*0</f>
        <v>0</v>
      </c>
      <c r="AF961" s="14">
        <f>G961*(1-0)</f>
        <v>0</v>
      </c>
      <c r="AG961" s="10" t="s">
        <v>7</v>
      </c>
      <c r="AM961" s="14">
        <f>F961*AE961</f>
        <v>0</v>
      </c>
      <c r="AN961" s="14">
        <f>F961*AF961</f>
        <v>0</v>
      </c>
      <c r="AO961" s="15" t="s">
        <v>1681</v>
      </c>
      <c r="AP961" s="15" t="s">
        <v>1755</v>
      </c>
      <c r="AQ961" s="8" t="s">
        <v>1772</v>
      </c>
      <c r="AS961" s="14">
        <f>AM961+AN961</f>
        <v>0</v>
      </c>
      <c r="AT961" s="14">
        <f>G961/(100-AU961)*100</f>
        <v>0</v>
      </c>
      <c r="AU961" s="14">
        <v>0</v>
      </c>
      <c r="AV961" s="14">
        <f>L961</f>
        <v>0</v>
      </c>
    </row>
    <row r="962" spans="1:13" ht="12.75">
      <c r="A962" s="102"/>
      <c r="B962" s="102"/>
      <c r="C962" s="102"/>
      <c r="D962" s="103" t="s">
        <v>1541</v>
      </c>
      <c r="E962" s="102"/>
      <c r="F962" s="104">
        <v>18.2</v>
      </c>
      <c r="G962" s="102"/>
      <c r="H962" s="102"/>
      <c r="I962" s="102"/>
      <c r="J962" s="102"/>
      <c r="K962" s="102"/>
      <c r="L962" s="102"/>
      <c r="M962" s="102"/>
    </row>
    <row r="963" spans="1:48" ht="12.75">
      <c r="A963" s="99" t="s">
        <v>347</v>
      </c>
      <c r="B963" s="99" t="s">
        <v>409</v>
      </c>
      <c r="C963" s="99" t="s">
        <v>418</v>
      </c>
      <c r="D963" s="99" t="s">
        <v>780</v>
      </c>
      <c r="E963" s="99" t="s">
        <v>1639</v>
      </c>
      <c r="F963" s="100">
        <v>18.2</v>
      </c>
      <c r="G963" s="100">
        <v>0</v>
      </c>
      <c r="H963" s="100">
        <f>F963*AE963</f>
        <v>0</v>
      </c>
      <c r="I963" s="100">
        <f>J963-H963</f>
        <v>0</v>
      </c>
      <c r="J963" s="100">
        <f>F963*G963</f>
        <v>0</v>
      </c>
      <c r="K963" s="100">
        <v>0</v>
      </c>
      <c r="L963" s="100">
        <f>F963*K963</f>
        <v>0</v>
      </c>
      <c r="M963" s="101" t="s">
        <v>1667</v>
      </c>
      <c r="P963" s="14">
        <f>IF(AG963="5",J963,0)</f>
        <v>0</v>
      </c>
      <c r="R963" s="14">
        <f>IF(AG963="1",H963,0)</f>
        <v>0</v>
      </c>
      <c r="S963" s="14">
        <f>IF(AG963="1",I963,0)</f>
        <v>0</v>
      </c>
      <c r="T963" s="14">
        <f>IF(AG963="7",H963,0)</f>
        <v>0</v>
      </c>
      <c r="U963" s="14">
        <f>IF(AG963="7",I963,0)</f>
        <v>0</v>
      </c>
      <c r="V963" s="14">
        <f>IF(AG963="2",H963,0)</f>
        <v>0</v>
      </c>
      <c r="W963" s="14">
        <f>IF(AG963="2",I963,0)</f>
        <v>0</v>
      </c>
      <c r="X963" s="14">
        <f>IF(AG963="0",J963,0)</f>
        <v>0</v>
      </c>
      <c r="Y963" s="8" t="s">
        <v>409</v>
      </c>
      <c r="Z963" s="5">
        <f>IF(AD963=0,J963,0)</f>
        <v>0</v>
      </c>
      <c r="AA963" s="5">
        <f>IF(AD963=15,J963,0)</f>
        <v>0</v>
      </c>
      <c r="AB963" s="5">
        <f>IF(AD963=21,J963,0)</f>
        <v>0</v>
      </c>
      <c r="AD963" s="14">
        <v>15</v>
      </c>
      <c r="AE963" s="14">
        <f>G963*0</f>
        <v>0</v>
      </c>
      <c r="AF963" s="14">
        <f>G963*(1-0)</f>
        <v>0</v>
      </c>
      <c r="AG963" s="10" t="s">
        <v>7</v>
      </c>
      <c r="AM963" s="14">
        <f>F963*AE963</f>
        <v>0</v>
      </c>
      <c r="AN963" s="14">
        <f>F963*AF963</f>
        <v>0</v>
      </c>
      <c r="AO963" s="15" t="s">
        <v>1681</v>
      </c>
      <c r="AP963" s="15" t="s">
        <v>1755</v>
      </c>
      <c r="AQ963" s="8" t="s">
        <v>1772</v>
      </c>
      <c r="AS963" s="14">
        <f>AM963+AN963</f>
        <v>0</v>
      </c>
      <c r="AT963" s="14">
        <f>G963/(100-AU963)*100</f>
        <v>0</v>
      </c>
      <c r="AU963" s="14">
        <v>0</v>
      </c>
      <c r="AV963" s="14">
        <f>L963</f>
        <v>0</v>
      </c>
    </row>
    <row r="964" spans="1:37" ht="12.75">
      <c r="A964" s="93"/>
      <c r="B964" s="94" t="s">
        <v>409</v>
      </c>
      <c r="C964" s="94" t="s">
        <v>22</v>
      </c>
      <c r="D964" s="95" t="s">
        <v>795</v>
      </c>
      <c r="E964" s="96"/>
      <c r="F964" s="96"/>
      <c r="G964" s="96"/>
      <c r="H964" s="97">
        <f>SUM(H965:H967)</f>
        <v>0</v>
      </c>
      <c r="I964" s="97">
        <f>SUM(I965:I967)</f>
        <v>0</v>
      </c>
      <c r="J964" s="97">
        <f>H964+I964</f>
        <v>0</v>
      </c>
      <c r="K964" s="98"/>
      <c r="L964" s="97">
        <f>SUM(L965:L967)</f>
        <v>0</v>
      </c>
      <c r="M964" s="98"/>
      <c r="Y964" s="8" t="s">
        <v>409</v>
      </c>
      <c r="AI964" s="16">
        <f>SUM(Z965:Z967)</f>
        <v>0</v>
      </c>
      <c r="AJ964" s="16">
        <f>SUM(AA965:AA967)</f>
        <v>0</v>
      </c>
      <c r="AK964" s="16">
        <f>SUM(AB965:AB967)</f>
        <v>0</v>
      </c>
    </row>
    <row r="965" spans="1:48" ht="12.75">
      <c r="A965" s="99" t="s">
        <v>348</v>
      </c>
      <c r="B965" s="99" t="s">
        <v>409</v>
      </c>
      <c r="C965" s="99" t="s">
        <v>421</v>
      </c>
      <c r="D965" s="99" t="s">
        <v>796</v>
      </c>
      <c r="E965" s="99" t="s">
        <v>1639</v>
      </c>
      <c r="F965" s="100">
        <v>18.2</v>
      </c>
      <c r="G965" s="100">
        <v>0</v>
      </c>
      <c r="H965" s="100">
        <f>F965*AE965</f>
        <v>0</v>
      </c>
      <c r="I965" s="100">
        <f>J965-H965</f>
        <v>0</v>
      </c>
      <c r="J965" s="100">
        <f>F965*G965</f>
        <v>0</v>
      </c>
      <c r="K965" s="100">
        <v>0</v>
      </c>
      <c r="L965" s="100">
        <f>F965*K965</f>
        <v>0</v>
      </c>
      <c r="M965" s="101" t="s">
        <v>1667</v>
      </c>
      <c r="P965" s="14">
        <f>IF(AG965="5",J965,0)</f>
        <v>0</v>
      </c>
      <c r="R965" s="14">
        <f>IF(AG965="1",H965,0)</f>
        <v>0</v>
      </c>
      <c r="S965" s="14">
        <f>IF(AG965="1",I965,0)</f>
        <v>0</v>
      </c>
      <c r="T965" s="14">
        <f>IF(AG965="7",H965,0)</f>
        <v>0</v>
      </c>
      <c r="U965" s="14">
        <f>IF(AG965="7",I965,0)</f>
        <v>0</v>
      </c>
      <c r="V965" s="14">
        <f>IF(AG965="2",H965,0)</f>
        <v>0</v>
      </c>
      <c r="W965" s="14">
        <f>IF(AG965="2",I965,0)</f>
        <v>0</v>
      </c>
      <c r="X965" s="14">
        <f>IF(AG965="0",J965,0)</f>
        <v>0</v>
      </c>
      <c r="Y965" s="8" t="s">
        <v>409</v>
      </c>
      <c r="Z965" s="5">
        <f>IF(AD965=0,J965,0)</f>
        <v>0</v>
      </c>
      <c r="AA965" s="5">
        <f>IF(AD965=15,J965,0)</f>
        <v>0</v>
      </c>
      <c r="AB965" s="5">
        <f>IF(AD965=21,J965,0)</f>
        <v>0</v>
      </c>
      <c r="AD965" s="14">
        <v>15</v>
      </c>
      <c r="AE965" s="14">
        <f>G965*0</f>
        <v>0</v>
      </c>
      <c r="AF965" s="14">
        <f>G965*(1-0)</f>
        <v>0</v>
      </c>
      <c r="AG965" s="10" t="s">
        <v>7</v>
      </c>
      <c r="AM965" s="14">
        <f>F965*AE965</f>
        <v>0</v>
      </c>
      <c r="AN965" s="14">
        <f>F965*AF965</f>
        <v>0</v>
      </c>
      <c r="AO965" s="15" t="s">
        <v>1683</v>
      </c>
      <c r="AP965" s="15" t="s">
        <v>1755</v>
      </c>
      <c r="AQ965" s="8" t="s">
        <v>1772</v>
      </c>
      <c r="AS965" s="14">
        <f>AM965+AN965</f>
        <v>0</v>
      </c>
      <c r="AT965" s="14">
        <f>G965/(100-AU965)*100</f>
        <v>0</v>
      </c>
      <c r="AU965" s="14">
        <v>0</v>
      </c>
      <c r="AV965" s="14">
        <f>L965</f>
        <v>0</v>
      </c>
    </row>
    <row r="966" spans="1:48" ht="12.75">
      <c r="A966" s="99" t="s">
        <v>349</v>
      </c>
      <c r="B966" s="99" t="s">
        <v>409</v>
      </c>
      <c r="C966" s="99" t="s">
        <v>422</v>
      </c>
      <c r="D966" s="99" t="s">
        <v>799</v>
      </c>
      <c r="E966" s="99" t="s">
        <v>1639</v>
      </c>
      <c r="F966" s="100">
        <v>18.2</v>
      </c>
      <c r="G966" s="100">
        <v>0</v>
      </c>
      <c r="H966" s="100">
        <f>F966*AE966</f>
        <v>0</v>
      </c>
      <c r="I966" s="100">
        <f>J966-H966</f>
        <v>0</v>
      </c>
      <c r="J966" s="100">
        <f>F966*G966</f>
        <v>0</v>
      </c>
      <c r="K966" s="100">
        <v>0</v>
      </c>
      <c r="L966" s="100">
        <f>F966*K966</f>
        <v>0</v>
      </c>
      <c r="M966" s="101" t="s">
        <v>1667</v>
      </c>
      <c r="P966" s="14">
        <f>IF(AG966="5",J966,0)</f>
        <v>0</v>
      </c>
      <c r="R966" s="14">
        <f>IF(AG966="1",H966,0)</f>
        <v>0</v>
      </c>
      <c r="S966" s="14">
        <f>IF(AG966="1",I966,0)</f>
        <v>0</v>
      </c>
      <c r="T966" s="14">
        <f>IF(AG966="7",H966,0)</f>
        <v>0</v>
      </c>
      <c r="U966" s="14">
        <f>IF(AG966="7",I966,0)</f>
        <v>0</v>
      </c>
      <c r="V966" s="14">
        <f>IF(AG966="2",H966,0)</f>
        <v>0</v>
      </c>
      <c r="W966" s="14">
        <f>IF(AG966="2",I966,0)</f>
        <v>0</v>
      </c>
      <c r="X966" s="14">
        <f>IF(AG966="0",J966,0)</f>
        <v>0</v>
      </c>
      <c r="Y966" s="8" t="s">
        <v>409</v>
      </c>
      <c r="Z966" s="5">
        <f>IF(AD966=0,J966,0)</f>
        <v>0</v>
      </c>
      <c r="AA966" s="5">
        <f>IF(AD966=15,J966,0)</f>
        <v>0</v>
      </c>
      <c r="AB966" s="5">
        <f>IF(AD966=21,J966,0)</f>
        <v>0</v>
      </c>
      <c r="AD966" s="14">
        <v>15</v>
      </c>
      <c r="AE966" s="14">
        <f>G966*0</f>
        <v>0</v>
      </c>
      <c r="AF966" s="14">
        <f>G966*(1-0)</f>
        <v>0</v>
      </c>
      <c r="AG966" s="10" t="s">
        <v>7</v>
      </c>
      <c r="AM966" s="14">
        <f>F966*AE966</f>
        <v>0</v>
      </c>
      <c r="AN966" s="14">
        <f>F966*AF966</f>
        <v>0</v>
      </c>
      <c r="AO966" s="15" t="s">
        <v>1683</v>
      </c>
      <c r="AP966" s="15" t="s">
        <v>1755</v>
      </c>
      <c r="AQ966" s="8" t="s">
        <v>1772</v>
      </c>
      <c r="AS966" s="14">
        <f>AM966+AN966</f>
        <v>0</v>
      </c>
      <c r="AT966" s="14">
        <f>G966/(100-AU966)*100</f>
        <v>0</v>
      </c>
      <c r="AU966" s="14">
        <v>0</v>
      </c>
      <c r="AV966" s="14">
        <f>L966</f>
        <v>0</v>
      </c>
    </row>
    <row r="967" spans="1:48" ht="12.75">
      <c r="A967" s="99" t="s">
        <v>350</v>
      </c>
      <c r="B967" s="99" t="s">
        <v>409</v>
      </c>
      <c r="C967" s="99" t="s">
        <v>671</v>
      </c>
      <c r="D967" s="99" t="s">
        <v>802</v>
      </c>
      <c r="E967" s="99" t="s">
        <v>1639</v>
      </c>
      <c r="F967" s="100">
        <v>18.2</v>
      </c>
      <c r="G967" s="100">
        <v>0</v>
      </c>
      <c r="H967" s="100">
        <f>F967*AE967</f>
        <v>0</v>
      </c>
      <c r="I967" s="100">
        <f>J967-H967</f>
        <v>0</v>
      </c>
      <c r="J967" s="100">
        <f>F967*G967</f>
        <v>0</v>
      </c>
      <c r="K967" s="100">
        <v>0</v>
      </c>
      <c r="L967" s="100">
        <f>F967*K967</f>
        <v>0</v>
      </c>
      <c r="M967" s="101" t="s">
        <v>1669</v>
      </c>
      <c r="P967" s="14">
        <f>IF(AG967="5",J967,0)</f>
        <v>0</v>
      </c>
      <c r="R967" s="14">
        <f>IF(AG967="1",H967,0)</f>
        <v>0</v>
      </c>
      <c r="S967" s="14">
        <f>IF(AG967="1",I967,0)</f>
        <v>0</v>
      </c>
      <c r="T967" s="14">
        <f>IF(AG967="7",H967,0)</f>
        <v>0</v>
      </c>
      <c r="U967" s="14">
        <f>IF(AG967="7",I967,0)</f>
        <v>0</v>
      </c>
      <c r="V967" s="14">
        <f>IF(AG967="2",H967,0)</f>
        <v>0</v>
      </c>
      <c r="W967" s="14">
        <f>IF(AG967="2",I967,0)</f>
        <v>0</v>
      </c>
      <c r="X967" s="14">
        <f>IF(AG967="0",J967,0)</f>
        <v>0</v>
      </c>
      <c r="Y967" s="8" t="s">
        <v>409</v>
      </c>
      <c r="Z967" s="5">
        <f>IF(AD967=0,J967,0)</f>
        <v>0</v>
      </c>
      <c r="AA967" s="5">
        <f>IF(AD967=15,J967,0)</f>
        <v>0</v>
      </c>
      <c r="AB967" s="5">
        <f>IF(AD967=21,J967,0)</f>
        <v>0</v>
      </c>
      <c r="AD967" s="14">
        <v>15</v>
      </c>
      <c r="AE967" s="14">
        <f>G967*0</f>
        <v>0</v>
      </c>
      <c r="AF967" s="14">
        <f>G967*(1-0)</f>
        <v>0</v>
      </c>
      <c r="AG967" s="10" t="s">
        <v>7</v>
      </c>
      <c r="AM967" s="14">
        <f>F967*AE967</f>
        <v>0</v>
      </c>
      <c r="AN967" s="14">
        <f>F967*AF967</f>
        <v>0</v>
      </c>
      <c r="AO967" s="15" t="s">
        <v>1683</v>
      </c>
      <c r="AP967" s="15" t="s">
        <v>1755</v>
      </c>
      <c r="AQ967" s="8" t="s">
        <v>1772</v>
      </c>
      <c r="AS967" s="14">
        <f>AM967+AN967</f>
        <v>0</v>
      </c>
      <c r="AT967" s="14">
        <f>G967/(100-AU967)*100</f>
        <v>0</v>
      </c>
      <c r="AU967" s="14">
        <v>0</v>
      </c>
      <c r="AV967" s="14">
        <f>L967</f>
        <v>0</v>
      </c>
    </row>
    <row r="968" spans="1:37" ht="12.75">
      <c r="A968" s="93"/>
      <c r="B968" s="94" t="s">
        <v>409</v>
      </c>
      <c r="C968" s="94" t="s">
        <v>23</v>
      </c>
      <c r="D968" s="95" t="s">
        <v>803</v>
      </c>
      <c r="E968" s="96"/>
      <c r="F968" s="96"/>
      <c r="G968" s="96"/>
      <c r="H968" s="97">
        <f>SUM(H969:H969)</f>
        <v>0</v>
      </c>
      <c r="I968" s="97">
        <f>SUM(I969:I969)</f>
        <v>0</v>
      </c>
      <c r="J968" s="97">
        <f>H968+I968</f>
        <v>0</v>
      </c>
      <c r="K968" s="98"/>
      <c r="L968" s="97">
        <f>SUM(L969:L969)</f>
        <v>0</v>
      </c>
      <c r="M968" s="98"/>
      <c r="Y968" s="8" t="s">
        <v>409</v>
      </c>
      <c r="AI968" s="16">
        <f>SUM(Z969:Z969)</f>
        <v>0</v>
      </c>
      <c r="AJ968" s="16">
        <f>SUM(AA969:AA969)</f>
        <v>0</v>
      </c>
      <c r="AK968" s="16">
        <f>SUM(AB969:AB969)</f>
        <v>0</v>
      </c>
    </row>
    <row r="969" spans="1:48" ht="12.75">
      <c r="A969" s="99" t="s">
        <v>351</v>
      </c>
      <c r="B969" s="99" t="s">
        <v>409</v>
      </c>
      <c r="C969" s="99" t="s">
        <v>424</v>
      </c>
      <c r="D969" s="99" t="s">
        <v>804</v>
      </c>
      <c r="E969" s="99" t="s">
        <v>1639</v>
      </c>
      <c r="F969" s="100">
        <v>18.2</v>
      </c>
      <c r="G969" s="100">
        <v>0</v>
      </c>
      <c r="H969" s="100">
        <f>F969*AE969</f>
        <v>0</v>
      </c>
      <c r="I969" s="100">
        <f>J969-H969</f>
        <v>0</v>
      </c>
      <c r="J969" s="100">
        <f>F969*G969</f>
        <v>0</v>
      </c>
      <c r="K969" s="100">
        <v>0</v>
      </c>
      <c r="L969" s="100">
        <f>F969*K969</f>
        <v>0</v>
      </c>
      <c r="M969" s="101" t="s">
        <v>1667</v>
      </c>
      <c r="P969" s="14">
        <f>IF(AG969="5",J969,0)</f>
        <v>0</v>
      </c>
      <c r="R969" s="14">
        <f>IF(AG969="1",H969,0)</f>
        <v>0</v>
      </c>
      <c r="S969" s="14">
        <f>IF(AG969="1",I969,0)</f>
        <v>0</v>
      </c>
      <c r="T969" s="14">
        <f>IF(AG969="7",H969,0)</f>
        <v>0</v>
      </c>
      <c r="U969" s="14">
        <f>IF(AG969="7",I969,0)</f>
        <v>0</v>
      </c>
      <c r="V969" s="14">
        <f>IF(AG969="2",H969,0)</f>
        <v>0</v>
      </c>
      <c r="W969" s="14">
        <f>IF(AG969="2",I969,0)</f>
        <v>0</v>
      </c>
      <c r="X969" s="14">
        <f>IF(AG969="0",J969,0)</f>
        <v>0</v>
      </c>
      <c r="Y969" s="8" t="s">
        <v>409</v>
      </c>
      <c r="Z969" s="5">
        <f>IF(AD969=0,J969,0)</f>
        <v>0</v>
      </c>
      <c r="AA969" s="5">
        <f>IF(AD969=15,J969,0)</f>
        <v>0</v>
      </c>
      <c r="AB969" s="5">
        <f>IF(AD969=21,J969,0)</f>
        <v>0</v>
      </c>
      <c r="AD969" s="14">
        <v>15</v>
      </c>
      <c r="AE969" s="14">
        <f>G969*0</f>
        <v>0</v>
      </c>
      <c r="AF969" s="14">
        <f>G969*(1-0)</f>
        <v>0</v>
      </c>
      <c r="AG969" s="10" t="s">
        <v>7</v>
      </c>
      <c r="AM969" s="14">
        <f>F969*AE969</f>
        <v>0</v>
      </c>
      <c r="AN969" s="14">
        <f>F969*AF969</f>
        <v>0</v>
      </c>
      <c r="AO969" s="15" t="s">
        <v>1684</v>
      </c>
      <c r="AP969" s="15" t="s">
        <v>1755</v>
      </c>
      <c r="AQ969" s="8" t="s">
        <v>1772</v>
      </c>
      <c r="AS969" s="14">
        <f>AM969+AN969</f>
        <v>0</v>
      </c>
      <c r="AT969" s="14">
        <f>G969/(100-AU969)*100</f>
        <v>0</v>
      </c>
      <c r="AU969" s="14">
        <v>0</v>
      </c>
      <c r="AV969" s="14">
        <f>L969</f>
        <v>0</v>
      </c>
    </row>
    <row r="970" spans="1:37" ht="12.75">
      <c r="A970" s="93"/>
      <c r="B970" s="94" t="s">
        <v>409</v>
      </c>
      <c r="C970" s="94" t="s">
        <v>24</v>
      </c>
      <c r="D970" s="95" t="s">
        <v>1527</v>
      </c>
      <c r="E970" s="96"/>
      <c r="F970" s="96"/>
      <c r="G970" s="96"/>
      <c r="H970" s="97">
        <f>SUM(H971:H971)</f>
        <v>0</v>
      </c>
      <c r="I970" s="97">
        <f>SUM(I971:I971)</f>
        <v>0</v>
      </c>
      <c r="J970" s="97">
        <f>H970+I970</f>
        <v>0</v>
      </c>
      <c r="K970" s="98"/>
      <c r="L970" s="97">
        <f>SUM(L971:L971)</f>
        <v>0</v>
      </c>
      <c r="M970" s="98"/>
      <c r="Y970" s="8" t="s">
        <v>409</v>
      </c>
      <c r="AI970" s="16">
        <f>SUM(Z971:Z971)</f>
        <v>0</v>
      </c>
      <c r="AJ970" s="16">
        <f>SUM(AA971:AA971)</f>
        <v>0</v>
      </c>
      <c r="AK970" s="16">
        <f>SUM(AB971:AB971)</f>
        <v>0</v>
      </c>
    </row>
    <row r="971" spans="1:48" ht="12.75">
      <c r="A971" s="99" t="s">
        <v>352</v>
      </c>
      <c r="B971" s="99" t="s">
        <v>409</v>
      </c>
      <c r="C971" s="99" t="s">
        <v>722</v>
      </c>
      <c r="D971" s="99" t="s">
        <v>1542</v>
      </c>
      <c r="E971" s="99" t="s">
        <v>1640</v>
      </c>
      <c r="F971" s="100">
        <v>121.35</v>
      </c>
      <c r="G971" s="100">
        <v>0</v>
      </c>
      <c r="H971" s="100">
        <f>F971*AE971</f>
        <v>0</v>
      </c>
      <c r="I971" s="100">
        <f>J971-H971</f>
        <v>0</v>
      </c>
      <c r="J971" s="100">
        <f>F971*G971</f>
        <v>0</v>
      </c>
      <c r="K971" s="100">
        <v>0</v>
      </c>
      <c r="L971" s="100">
        <f>F971*K971</f>
        <v>0</v>
      </c>
      <c r="M971" s="101" t="s">
        <v>1667</v>
      </c>
      <c r="P971" s="14">
        <f>IF(AG971="5",J971,0)</f>
        <v>0</v>
      </c>
      <c r="R971" s="14">
        <f>IF(AG971="1",H971,0)</f>
        <v>0</v>
      </c>
      <c r="S971" s="14">
        <f>IF(AG971="1",I971,0)</f>
        <v>0</v>
      </c>
      <c r="T971" s="14">
        <f>IF(AG971="7",H971,0)</f>
        <v>0</v>
      </c>
      <c r="U971" s="14">
        <f>IF(AG971="7",I971,0)</f>
        <v>0</v>
      </c>
      <c r="V971" s="14">
        <f>IF(AG971="2",H971,0)</f>
        <v>0</v>
      </c>
      <c r="W971" s="14">
        <f>IF(AG971="2",I971,0)</f>
        <v>0</v>
      </c>
      <c r="X971" s="14">
        <f>IF(AG971="0",J971,0)</f>
        <v>0</v>
      </c>
      <c r="Y971" s="8" t="s">
        <v>409</v>
      </c>
      <c r="Z971" s="5">
        <f>IF(AD971=0,J971,0)</f>
        <v>0</v>
      </c>
      <c r="AA971" s="5">
        <f>IF(AD971=15,J971,0)</f>
        <v>0</v>
      </c>
      <c r="AB971" s="5">
        <f>IF(AD971=21,J971,0)</f>
        <v>0</v>
      </c>
      <c r="AD971" s="14">
        <v>15</v>
      </c>
      <c r="AE971" s="14">
        <f>G971*0</f>
        <v>0</v>
      </c>
      <c r="AF971" s="14">
        <f>G971*(1-0)</f>
        <v>0</v>
      </c>
      <c r="AG971" s="10" t="s">
        <v>7</v>
      </c>
      <c r="AM971" s="14">
        <f>F971*AE971</f>
        <v>0</v>
      </c>
      <c r="AN971" s="14">
        <f>F971*AF971</f>
        <v>0</v>
      </c>
      <c r="AO971" s="15" t="s">
        <v>1718</v>
      </c>
      <c r="AP971" s="15" t="s">
        <v>1755</v>
      </c>
      <c r="AQ971" s="8" t="s">
        <v>1772</v>
      </c>
      <c r="AS971" s="14">
        <f>AM971+AN971</f>
        <v>0</v>
      </c>
      <c r="AT971" s="14">
        <f>G971/(100-AU971)*100</f>
        <v>0</v>
      </c>
      <c r="AU971" s="14">
        <v>0</v>
      </c>
      <c r="AV971" s="14">
        <f>L971</f>
        <v>0</v>
      </c>
    </row>
    <row r="972" spans="1:13" ht="12.75">
      <c r="A972" s="102"/>
      <c r="B972" s="102"/>
      <c r="C972" s="102"/>
      <c r="D972" s="103" t="s">
        <v>1543</v>
      </c>
      <c r="E972" s="102"/>
      <c r="F972" s="104">
        <v>62.02</v>
      </c>
      <c r="G972" s="102"/>
      <c r="H972" s="102"/>
      <c r="I972" s="102"/>
      <c r="J972" s="102"/>
      <c r="K972" s="102"/>
      <c r="L972" s="102"/>
      <c r="M972" s="102"/>
    </row>
    <row r="973" spans="1:13" ht="12.75">
      <c r="A973" s="102"/>
      <c r="B973" s="102"/>
      <c r="C973" s="102"/>
      <c r="D973" s="103" t="s">
        <v>1544</v>
      </c>
      <c r="E973" s="102"/>
      <c r="F973" s="104">
        <v>59.33</v>
      </c>
      <c r="G973" s="102"/>
      <c r="H973" s="102"/>
      <c r="I973" s="102"/>
      <c r="J973" s="102"/>
      <c r="K973" s="102"/>
      <c r="L973" s="102"/>
      <c r="M973" s="102"/>
    </row>
    <row r="974" spans="1:37" ht="12.75">
      <c r="A974" s="93"/>
      <c r="B974" s="94" t="s">
        <v>409</v>
      </c>
      <c r="C974" s="94" t="s">
        <v>62</v>
      </c>
      <c r="D974" s="95" t="s">
        <v>1545</v>
      </c>
      <c r="E974" s="96"/>
      <c r="F974" s="96"/>
      <c r="G974" s="96"/>
      <c r="H974" s="97">
        <f>SUM(H975:H981)</f>
        <v>0</v>
      </c>
      <c r="I974" s="97">
        <f>SUM(I975:I981)</f>
        <v>0</v>
      </c>
      <c r="J974" s="97">
        <f>H974+I974</f>
        <v>0</v>
      </c>
      <c r="K974" s="98"/>
      <c r="L974" s="97">
        <f>SUM(L975:L981)</f>
        <v>91.6239212</v>
      </c>
      <c r="M974" s="98"/>
      <c r="Y974" s="8" t="s">
        <v>409</v>
      </c>
      <c r="AI974" s="16">
        <f>SUM(Z975:Z981)</f>
        <v>0</v>
      </c>
      <c r="AJ974" s="16">
        <f>SUM(AA975:AA981)</f>
        <v>0</v>
      </c>
      <c r="AK974" s="16">
        <f>SUM(AB975:AB981)</f>
        <v>0</v>
      </c>
    </row>
    <row r="975" spans="1:48" ht="12.75">
      <c r="A975" s="99" t="s">
        <v>353</v>
      </c>
      <c r="B975" s="99" t="s">
        <v>409</v>
      </c>
      <c r="C975" s="99" t="s">
        <v>723</v>
      </c>
      <c r="D975" s="99" t="s">
        <v>1546</v>
      </c>
      <c r="E975" s="99" t="s">
        <v>1640</v>
      </c>
      <c r="F975" s="100">
        <v>56.38</v>
      </c>
      <c r="G975" s="100">
        <v>0</v>
      </c>
      <c r="H975" s="100">
        <f>F975*AE975</f>
        <v>0</v>
      </c>
      <c r="I975" s="100">
        <f>J975-H975</f>
        <v>0</v>
      </c>
      <c r="J975" s="100">
        <f>F975*G975</f>
        <v>0</v>
      </c>
      <c r="K975" s="100">
        <v>0.38625</v>
      </c>
      <c r="L975" s="100">
        <f>F975*K975</f>
        <v>21.776775</v>
      </c>
      <c r="M975" s="101" t="s">
        <v>1667</v>
      </c>
      <c r="P975" s="14">
        <f>IF(AG975="5",J975,0)</f>
        <v>0</v>
      </c>
      <c r="R975" s="14">
        <f>IF(AG975="1",H975,0)</f>
        <v>0</v>
      </c>
      <c r="S975" s="14">
        <f>IF(AG975="1",I975,0)</f>
        <v>0</v>
      </c>
      <c r="T975" s="14">
        <f>IF(AG975="7",H975,0)</f>
        <v>0</v>
      </c>
      <c r="U975" s="14">
        <f>IF(AG975="7",I975,0)</f>
        <v>0</v>
      </c>
      <c r="V975" s="14">
        <f>IF(AG975="2",H975,0)</f>
        <v>0</v>
      </c>
      <c r="W975" s="14">
        <f>IF(AG975="2",I975,0)</f>
        <v>0</v>
      </c>
      <c r="X975" s="14">
        <f>IF(AG975="0",J975,0)</f>
        <v>0</v>
      </c>
      <c r="Y975" s="8" t="s">
        <v>409</v>
      </c>
      <c r="Z975" s="5">
        <f>IF(AD975=0,J975,0)</f>
        <v>0</v>
      </c>
      <c r="AA975" s="5">
        <f>IF(AD975=15,J975,0)</f>
        <v>0</v>
      </c>
      <c r="AB975" s="5">
        <f>IF(AD975=21,J975,0)</f>
        <v>0</v>
      </c>
      <c r="AD975" s="14">
        <v>15</v>
      </c>
      <c r="AE975" s="14">
        <f>G975*0.851622418879056</f>
        <v>0</v>
      </c>
      <c r="AF975" s="14">
        <f>G975*(1-0.851622418879056)</f>
        <v>0</v>
      </c>
      <c r="AG975" s="10" t="s">
        <v>7</v>
      </c>
      <c r="AM975" s="14">
        <f>F975*AE975</f>
        <v>0</v>
      </c>
      <c r="AN975" s="14">
        <f>F975*AF975</f>
        <v>0</v>
      </c>
      <c r="AO975" s="15" t="s">
        <v>1720</v>
      </c>
      <c r="AP975" s="15" t="s">
        <v>1756</v>
      </c>
      <c r="AQ975" s="8" t="s">
        <v>1772</v>
      </c>
      <c r="AS975" s="14">
        <f>AM975+AN975</f>
        <v>0</v>
      </c>
      <c r="AT975" s="14">
        <f>G975/(100-AU975)*100</f>
        <v>0</v>
      </c>
      <c r="AU975" s="14">
        <v>0</v>
      </c>
      <c r="AV975" s="14">
        <f>L975</f>
        <v>21.776775</v>
      </c>
    </row>
    <row r="976" spans="1:48" ht="12.75">
      <c r="A976" s="99" t="s">
        <v>354</v>
      </c>
      <c r="B976" s="99" t="s">
        <v>409</v>
      </c>
      <c r="C976" s="99" t="s">
        <v>724</v>
      </c>
      <c r="D976" s="99" t="s">
        <v>1547</v>
      </c>
      <c r="E976" s="99" t="s">
        <v>1640</v>
      </c>
      <c r="F976" s="100">
        <v>62.02</v>
      </c>
      <c r="G976" s="100">
        <v>0</v>
      </c>
      <c r="H976" s="100">
        <f>F976*AE976</f>
        <v>0</v>
      </c>
      <c r="I976" s="100">
        <f>J976-H976</f>
        <v>0</v>
      </c>
      <c r="J976" s="100">
        <f>F976*G976</f>
        <v>0</v>
      </c>
      <c r="K976" s="100">
        <v>0.2205</v>
      </c>
      <c r="L976" s="100">
        <f>F976*K976</f>
        <v>13.675410000000001</v>
      </c>
      <c r="M976" s="101" t="s">
        <v>1667</v>
      </c>
      <c r="P976" s="14">
        <f>IF(AG976="5",J976,0)</f>
        <v>0</v>
      </c>
      <c r="R976" s="14">
        <f>IF(AG976="1",H976,0)</f>
        <v>0</v>
      </c>
      <c r="S976" s="14">
        <f>IF(AG976="1",I976,0)</f>
        <v>0</v>
      </c>
      <c r="T976" s="14">
        <f>IF(AG976="7",H976,0)</f>
        <v>0</v>
      </c>
      <c r="U976" s="14">
        <f>IF(AG976="7",I976,0)</f>
        <v>0</v>
      </c>
      <c r="V976" s="14">
        <f>IF(AG976="2",H976,0)</f>
        <v>0</v>
      </c>
      <c r="W976" s="14">
        <f>IF(AG976="2",I976,0)</f>
        <v>0</v>
      </c>
      <c r="X976" s="14">
        <f>IF(AG976="0",J976,0)</f>
        <v>0</v>
      </c>
      <c r="Y976" s="8" t="s">
        <v>409</v>
      </c>
      <c r="Z976" s="5">
        <f>IF(AD976=0,J976,0)</f>
        <v>0</v>
      </c>
      <c r="AA976" s="5">
        <f>IF(AD976=15,J976,0)</f>
        <v>0</v>
      </c>
      <c r="AB976" s="5">
        <f>IF(AD976=21,J976,0)</f>
        <v>0</v>
      </c>
      <c r="AD976" s="14">
        <v>15</v>
      </c>
      <c r="AE976" s="14">
        <f>G976*0.821826484018265</f>
        <v>0</v>
      </c>
      <c r="AF976" s="14">
        <f>G976*(1-0.821826484018265)</f>
        <v>0</v>
      </c>
      <c r="AG976" s="10" t="s">
        <v>7</v>
      </c>
      <c r="AM976" s="14">
        <f>F976*AE976</f>
        <v>0</v>
      </c>
      <c r="AN976" s="14">
        <f>F976*AF976</f>
        <v>0</v>
      </c>
      <c r="AO976" s="15" t="s">
        <v>1720</v>
      </c>
      <c r="AP976" s="15" t="s">
        <v>1756</v>
      </c>
      <c r="AQ976" s="8" t="s">
        <v>1772</v>
      </c>
      <c r="AS976" s="14">
        <f>AM976+AN976</f>
        <v>0</v>
      </c>
      <c r="AT976" s="14">
        <f>G976/(100-AU976)*100</f>
        <v>0</v>
      </c>
      <c r="AU976" s="14">
        <v>0</v>
      </c>
      <c r="AV976" s="14">
        <f>L976</f>
        <v>13.675410000000001</v>
      </c>
    </row>
    <row r="977" spans="1:13" ht="12.75">
      <c r="A977" s="102"/>
      <c r="B977" s="102"/>
      <c r="C977" s="102"/>
      <c r="D977" s="103" t="s">
        <v>1548</v>
      </c>
      <c r="E977" s="102"/>
      <c r="F977" s="104">
        <v>62.02</v>
      </c>
      <c r="G977" s="102"/>
      <c r="H977" s="102"/>
      <c r="I977" s="102"/>
      <c r="J977" s="102"/>
      <c r="K977" s="102"/>
      <c r="L977" s="102"/>
      <c r="M977" s="102"/>
    </row>
    <row r="978" spans="1:48" ht="12.75">
      <c r="A978" s="99" t="s">
        <v>355</v>
      </c>
      <c r="B978" s="99" t="s">
        <v>409</v>
      </c>
      <c r="C978" s="99" t="s">
        <v>725</v>
      </c>
      <c r="D978" s="99" t="s">
        <v>1549</v>
      </c>
      <c r="E978" s="99" t="s">
        <v>1640</v>
      </c>
      <c r="F978" s="100">
        <v>59.33</v>
      </c>
      <c r="G978" s="100">
        <v>0</v>
      </c>
      <c r="H978" s="100">
        <f>F978*AE978</f>
        <v>0</v>
      </c>
      <c r="I978" s="100">
        <f>J978-H978</f>
        <v>0</v>
      </c>
      <c r="J978" s="100">
        <f>F978*G978</f>
        <v>0</v>
      </c>
      <c r="K978" s="100">
        <v>0.2024</v>
      </c>
      <c r="L978" s="100">
        <f>F978*K978</f>
        <v>12.008391999999999</v>
      </c>
      <c r="M978" s="101" t="s">
        <v>1667</v>
      </c>
      <c r="P978" s="14">
        <f>IF(AG978="5",J978,0)</f>
        <v>0</v>
      </c>
      <c r="R978" s="14">
        <f>IF(AG978="1",H978,0)</f>
        <v>0</v>
      </c>
      <c r="S978" s="14">
        <f>IF(AG978="1",I978,0)</f>
        <v>0</v>
      </c>
      <c r="T978" s="14">
        <f>IF(AG978="7",H978,0)</f>
        <v>0</v>
      </c>
      <c r="U978" s="14">
        <f>IF(AG978="7",I978,0)</f>
        <v>0</v>
      </c>
      <c r="V978" s="14">
        <f>IF(AG978="2",H978,0)</f>
        <v>0</v>
      </c>
      <c r="W978" s="14">
        <f>IF(AG978="2",I978,0)</f>
        <v>0</v>
      </c>
      <c r="X978" s="14">
        <f>IF(AG978="0",J978,0)</f>
        <v>0</v>
      </c>
      <c r="Y978" s="8" t="s">
        <v>409</v>
      </c>
      <c r="Z978" s="5">
        <f>IF(AD978=0,J978,0)</f>
        <v>0</v>
      </c>
      <c r="AA978" s="5">
        <f>IF(AD978=15,J978,0)</f>
        <v>0</v>
      </c>
      <c r="AB978" s="5">
        <f>IF(AD978=21,J978,0)</f>
        <v>0</v>
      </c>
      <c r="AD978" s="14">
        <v>15</v>
      </c>
      <c r="AE978" s="14">
        <f>G978*0.837169891258297</f>
        <v>0</v>
      </c>
      <c r="AF978" s="14">
        <f>G978*(1-0.837169891258297)</f>
        <v>0</v>
      </c>
      <c r="AG978" s="10" t="s">
        <v>7</v>
      </c>
      <c r="AM978" s="14">
        <f>F978*AE978</f>
        <v>0</v>
      </c>
      <c r="AN978" s="14">
        <f>F978*AF978</f>
        <v>0</v>
      </c>
      <c r="AO978" s="15" t="s">
        <v>1720</v>
      </c>
      <c r="AP978" s="15" t="s">
        <v>1756</v>
      </c>
      <c r="AQ978" s="8" t="s">
        <v>1772</v>
      </c>
      <c r="AS978" s="14">
        <f>AM978+AN978</f>
        <v>0</v>
      </c>
      <c r="AT978" s="14">
        <f>G978/(100-AU978)*100</f>
        <v>0</v>
      </c>
      <c r="AU978" s="14">
        <v>0</v>
      </c>
      <c r="AV978" s="14">
        <f>L978</f>
        <v>12.008391999999999</v>
      </c>
    </row>
    <row r="979" spans="1:13" ht="12.75">
      <c r="A979" s="102"/>
      <c r="B979" s="102"/>
      <c r="C979" s="102"/>
      <c r="D979" s="103" t="s">
        <v>1550</v>
      </c>
      <c r="E979" s="102"/>
      <c r="F979" s="104">
        <v>59.33</v>
      </c>
      <c r="G979" s="102"/>
      <c r="H979" s="102"/>
      <c r="I979" s="102"/>
      <c r="J979" s="102"/>
      <c r="K979" s="102"/>
      <c r="L979" s="102"/>
      <c r="M979" s="102"/>
    </row>
    <row r="980" spans="1:48" ht="12.75">
      <c r="A980" s="99" t="s">
        <v>356</v>
      </c>
      <c r="B980" s="99" t="s">
        <v>409</v>
      </c>
      <c r="C980" s="99" t="s">
        <v>726</v>
      </c>
      <c r="D980" s="99" t="s">
        <v>1551</v>
      </c>
      <c r="E980" s="99" t="s">
        <v>1640</v>
      </c>
      <c r="F980" s="100">
        <v>59.33</v>
      </c>
      <c r="G980" s="100">
        <v>0</v>
      </c>
      <c r="H980" s="100">
        <f>F980*AE980</f>
        <v>0</v>
      </c>
      <c r="I980" s="100">
        <f>J980-H980</f>
        <v>0</v>
      </c>
      <c r="J980" s="100">
        <f>F980*G980</f>
        <v>0</v>
      </c>
      <c r="K980" s="100">
        <v>0.60104</v>
      </c>
      <c r="L980" s="100">
        <f>F980*K980</f>
        <v>35.6597032</v>
      </c>
      <c r="M980" s="101" t="s">
        <v>1667</v>
      </c>
      <c r="P980" s="14">
        <f>IF(AG980="5",J980,0)</f>
        <v>0</v>
      </c>
      <c r="R980" s="14">
        <f>IF(AG980="1",H980,0)</f>
        <v>0</v>
      </c>
      <c r="S980" s="14">
        <f>IF(AG980="1",I980,0)</f>
        <v>0</v>
      </c>
      <c r="T980" s="14">
        <f>IF(AG980="7",H980,0)</f>
        <v>0</v>
      </c>
      <c r="U980" s="14">
        <f>IF(AG980="7",I980,0)</f>
        <v>0</v>
      </c>
      <c r="V980" s="14">
        <f>IF(AG980="2",H980,0)</f>
        <v>0</v>
      </c>
      <c r="W980" s="14">
        <f>IF(AG980="2",I980,0)</f>
        <v>0</v>
      </c>
      <c r="X980" s="14">
        <f>IF(AG980="0",J980,0)</f>
        <v>0</v>
      </c>
      <c r="Y980" s="8" t="s">
        <v>409</v>
      </c>
      <c r="Z980" s="5">
        <f>IF(AD980=0,J980,0)</f>
        <v>0</v>
      </c>
      <c r="AA980" s="5">
        <f>IF(AD980=15,J980,0)</f>
        <v>0</v>
      </c>
      <c r="AB980" s="5">
        <f>IF(AD980=21,J980,0)</f>
        <v>0</v>
      </c>
      <c r="AD980" s="14">
        <v>15</v>
      </c>
      <c r="AE980" s="14">
        <f>G980*0.824587441252341</f>
        <v>0</v>
      </c>
      <c r="AF980" s="14">
        <f>G980*(1-0.824587441252341)</f>
        <v>0</v>
      </c>
      <c r="AG980" s="10" t="s">
        <v>7</v>
      </c>
      <c r="AM980" s="14">
        <f>F980*AE980</f>
        <v>0</v>
      </c>
      <c r="AN980" s="14">
        <f>F980*AF980</f>
        <v>0</v>
      </c>
      <c r="AO980" s="15" t="s">
        <v>1720</v>
      </c>
      <c r="AP980" s="15" t="s">
        <v>1756</v>
      </c>
      <c r="AQ980" s="8" t="s">
        <v>1772</v>
      </c>
      <c r="AS980" s="14">
        <f>AM980+AN980</f>
        <v>0</v>
      </c>
      <c r="AT980" s="14">
        <f>G980/(100-AU980)*100</f>
        <v>0</v>
      </c>
      <c r="AU980" s="14">
        <v>0</v>
      </c>
      <c r="AV980" s="14">
        <f>L980</f>
        <v>35.6597032</v>
      </c>
    </row>
    <row r="981" spans="1:48" ht="12.75">
      <c r="A981" s="99" t="s">
        <v>357</v>
      </c>
      <c r="B981" s="99" t="s">
        <v>409</v>
      </c>
      <c r="C981" s="99" t="s">
        <v>727</v>
      </c>
      <c r="D981" s="99" t="s">
        <v>1552</v>
      </c>
      <c r="E981" s="99" t="s">
        <v>1640</v>
      </c>
      <c r="F981" s="100">
        <v>53.94</v>
      </c>
      <c r="G981" s="100">
        <v>0</v>
      </c>
      <c r="H981" s="100">
        <f>F981*AE981</f>
        <v>0</v>
      </c>
      <c r="I981" s="100">
        <f>J981-H981</f>
        <v>0</v>
      </c>
      <c r="J981" s="100">
        <f>F981*G981</f>
        <v>0</v>
      </c>
      <c r="K981" s="100">
        <v>0.15765</v>
      </c>
      <c r="L981" s="100">
        <f>F981*K981</f>
        <v>8.503641</v>
      </c>
      <c r="M981" s="101" t="s">
        <v>1667</v>
      </c>
      <c r="P981" s="14">
        <f>IF(AG981="5",J981,0)</f>
        <v>0</v>
      </c>
      <c r="R981" s="14">
        <f>IF(AG981="1",H981,0)</f>
        <v>0</v>
      </c>
      <c r="S981" s="14">
        <f>IF(AG981="1",I981,0)</f>
        <v>0</v>
      </c>
      <c r="T981" s="14">
        <f>IF(AG981="7",H981,0)</f>
        <v>0</v>
      </c>
      <c r="U981" s="14">
        <f>IF(AG981="7",I981,0)</f>
        <v>0</v>
      </c>
      <c r="V981" s="14">
        <f>IF(AG981="2",H981,0)</f>
        <v>0</v>
      </c>
      <c r="W981" s="14">
        <f>IF(AG981="2",I981,0)</f>
        <v>0</v>
      </c>
      <c r="X981" s="14">
        <f>IF(AG981="0",J981,0)</f>
        <v>0</v>
      </c>
      <c r="Y981" s="8" t="s">
        <v>409</v>
      </c>
      <c r="Z981" s="5">
        <f>IF(AD981=0,J981,0)</f>
        <v>0</v>
      </c>
      <c r="AA981" s="5">
        <f>IF(AD981=15,J981,0)</f>
        <v>0</v>
      </c>
      <c r="AB981" s="5">
        <f>IF(AD981=21,J981,0)</f>
        <v>0</v>
      </c>
      <c r="AD981" s="14">
        <v>15</v>
      </c>
      <c r="AE981" s="14">
        <f>G981*0.763130659767141</f>
        <v>0</v>
      </c>
      <c r="AF981" s="14">
        <f>G981*(1-0.763130659767141)</f>
        <v>0</v>
      </c>
      <c r="AG981" s="10" t="s">
        <v>7</v>
      </c>
      <c r="AM981" s="14">
        <f>F981*AE981</f>
        <v>0</v>
      </c>
      <c r="AN981" s="14">
        <f>F981*AF981</f>
        <v>0</v>
      </c>
      <c r="AO981" s="15" t="s">
        <v>1720</v>
      </c>
      <c r="AP981" s="15" t="s">
        <v>1756</v>
      </c>
      <c r="AQ981" s="8" t="s">
        <v>1772</v>
      </c>
      <c r="AS981" s="14">
        <f>AM981+AN981</f>
        <v>0</v>
      </c>
      <c r="AT981" s="14">
        <f>G981/(100-AU981)*100</f>
        <v>0</v>
      </c>
      <c r="AU981" s="14">
        <v>0</v>
      </c>
      <c r="AV981" s="14">
        <f>L981</f>
        <v>8.503641</v>
      </c>
    </row>
    <row r="982" spans="1:13" ht="12.75">
      <c r="A982" s="102"/>
      <c r="B982" s="102"/>
      <c r="C982" s="102"/>
      <c r="D982" s="103" t="s">
        <v>1553</v>
      </c>
      <c r="E982" s="102"/>
      <c r="F982" s="104">
        <v>53.94</v>
      </c>
      <c r="G982" s="102"/>
      <c r="H982" s="102"/>
      <c r="I982" s="102"/>
      <c r="J982" s="102"/>
      <c r="K982" s="102"/>
      <c r="L982" s="102"/>
      <c r="M982" s="102"/>
    </row>
    <row r="983" spans="1:37" ht="12.75">
      <c r="A983" s="93"/>
      <c r="B983" s="94" t="s">
        <v>409</v>
      </c>
      <c r="C983" s="94" t="s">
        <v>65</v>
      </c>
      <c r="D983" s="95" t="s">
        <v>1554</v>
      </c>
      <c r="E983" s="96"/>
      <c r="F983" s="96"/>
      <c r="G983" s="96"/>
      <c r="H983" s="97">
        <f>SUM(H984:H997)</f>
        <v>0</v>
      </c>
      <c r="I983" s="97">
        <f>SUM(I984:I997)</f>
        <v>0</v>
      </c>
      <c r="J983" s="97">
        <f>H983+I983</f>
        <v>0</v>
      </c>
      <c r="K983" s="98"/>
      <c r="L983" s="97">
        <f>SUM(L984:L997)</f>
        <v>23.889512</v>
      </c>
      <c r="M983" s="98"/>
      <c r="Y983" s="8" t="s">
        <v>409</v>
      </c>
      <c r="AI983" s="16">
        <f>SUM(Z984:Z997)</f>
        <v>0</v>
      </c>
      <c r="AJ983" s="16">
        <f>SUM(AA984:AA997)</f>
        <v>0</v>
      </c>
      <c r="AK983" s="16">
        <f>SUM(AB984:AB997)</f>
        <v>0</v>
      </c>
    </row>
    <row r="984" spans="1:48" ht="12.75">
      <c r="A984" s="99" t="s">
        <v>358</v>
      </c>
      <c r="B984" s="99" t="s">
        <v>409</v>
      </c>
      <c r="C984" s="99" t="s">
        <v>728</v>
      </c>
      <c r="D984" s="99" t="s">
        <v>1555</v>
      </c>
      <c r="E984" s="99" t="s">
        <v>1640</v>
      </c>
      <c r="F984" s="100">
        <v>56.38</v>
      </c>
      <c r="G984" s="100">
        <v>0</v>
      </c>
      <c r="H984" s="100">
        <f>F984*AE984</f>
        <v>0</v>
      </c>
      <c r="I984" s="100">
        <f>J984-H984</f>
        <v>0</v>
      </c>
      <c r="J984" s="100">
        <f>F984*G984</f>
        <v>0</v>
      </c>
      <c r="K984" s="100">
        <v>0.0739</v>
      </c>
      <c r="L984" s="100">
        <f>F984*K984</f>
        <v>4.166482</v>
      </c>
      <c r="M984" s="101" t="s">
        <v>1667</v>
      </c>
      <c r="P984" s="14">
        <f>IF(AG984="5",J984,0)</f>
        <v>0</v>
      </c>
      <c r="R984" s="14">
        <f>IF(AG984="1",H984,0)</f>
        <v>0</v>
      </c>
      <c r="S984" s="14">
        <f>IF(AG984="1",I984,0)</f>
        <v>0</v>
      </c>
      <c r="T984" s="14">
        <f>IF(AG984="7",H984,0)</f>
        <v>0</v>
      </c>
      <c r="U984" s="14">
        <f>IF(AG984="7",I984,0)</f>
        <v>0</v>
      </c>
      <c r="V984" s="14">
        <f>IF(AG984="2",H984,0)</f>
        <v>0</v>
      </c>
      <c r="W984" s="14">
        <f>IF(AG984="2",I984,0)</f>
        <v>0</v>
      </c>
      <c r="X984" s="14">
        <f>IF(AG984="0",J984,0)</f>
        <v>0</v>
      </c>
      <c r="Y984" s="8" t="s">
        <v>409</v>
      </c>
      <c r="Z984" s="5">
        <f>IF(AD984=0,J984,0)</f>
        <v>0</v>
      </c>
      <c r="AA984" s="5">
        <f>IF(AD984=15,J984,0)</f>
        <v>0</v>
      </c>
      <c r="AB984" s="5">
        <f>IF(AD984=21,J984,0)</f>
        <v>0</v>
      </c>
      <c r="AD984" s="14">
        <v>15</v>
      </c>
      <c r="AE984" s="14">
        <f>G984*0.184223300970874</f>
        <v>0</v>
      </c>
      <c r="AF984" s="14">
        <f>G984*(1-0.184223300970874)</f>
        <v>0</v>
      </c>
      <c r="AG984" s="10" t="s">
        <v>7</v>
      </c>
      <c r="AM984" s="14">
        <f>F984*AE984</f>
        <v>0</v>
      </c>
      <c r="AN984" s="14">
        <f>F984*AF984</f>
        <v>0</v>
      </c>
      <c r="AO984" s="15" t="s">
        <v>1721</v>
      </c>
      <c r="AP984" s="15" t="s">
        <v>1756</v>
      </c>
      <c r="AQ984" s="8" t="s">
        <v>1772</v>
      </c>
      <c r="AS984" s="14">
        <f>AM984+AN984</f>
        <v>0</v>
      </c>
      <c r="AT984" s="14">
        <f>G984/(100-AU984)*100</f>
        <v>0</v>
      </c>
      <c r="AU984" s="14">
        <v>0</v>
      </c>
      <c r="AV984" s="14">
        <f>L984</f>
        <v>4.166482</v>
      </c>
    </row>
    <row r="985" spans="1:13" ht="12.75">
      <c r="A985" s="102"/>
      <c r="B985" s="102"/>
      <c r="C985" s="102"/>
      <c r="D985" s="103" t="s">
        <v>1556</v>
      </c>
      <c r="E985" s="102"/>
      <c r="F985" s="104">
        <v>7.75</v>
      </c>
      <c r="G985" s="102"/>
      <c r="H985" s="102"/>
      <c r="I985" s="102"/>
      <c r="J985" s="102"/>
      <c r="K985" s="102"/>
      <c r="L985" s="102"/>
      <c r="M985" s="102"/>
    </row>
    <row r="986" spans="1:13" ht="12.75">
      <c r="A986" s="102"/>
      <c r="B986" s="102"/>
      <c r="C986" s="102"/>
      <c r="D986" s="103" t="s">
        <v>1557</v>
      </c>
      <c r="E986" s="102"/>
      <c r="F986" s="104">
        <v>7.77</v>
      </c>
      <c r="G986" s="102"/>
      <c r="H986" s="102"/>
      <c r="I986" s="102"/>
      <c r="J986" s="102"/>
      <c r="K986" s="102"/>
      <c r="L986" s="102"/>
      <c r="M986" s="102"/>
    </row>
    <row r="987" spans="1:13" ht="12.75">
      <c r="A987" s="102"/>
      <c r="B987" s="102"/>
      <c r="C987" s="102"/>
      <c r="D987" s="103" t="s">
        <v>1558</v>
      </c>
      <c r="E987" s="102"/>
      <c r="F987" s="104">
        <v>7.58</v>
      </c>
      <c r="G987" s="102"/>
      <c r="H987" s="102"/>
      <c r="I987" s="102"/>
      <c r="J987" s="102"/>
      <c r="K987" s="102"/>
      <c r="L987" s="102"/>
      <c r="M987" s="102"/>
    </row>
    <row r="988" spans="1:13" ht="12.75">
      <c r="A988" s="102"/>
      <c r="B988" s="102"/>
      <c r="C988" s="102"/>
      <c r="D988" s="103" t="s">
        <v>1559</v>
      </c>
      <c r="E988" s="102"/>
      <c r="F988" s="104">
        <v>6.53</v>
      </c>
      <c r="G988" s="102"/>
      <c r="H988" s="102"/>
      <c r="I988" s="102"/>
      <c r="J988" s="102"/>
      <c r="K988" s="102"/>
      <c r="L988" s="102"/>
      <c r="M988" s="102"/>
    </row>
    <row r="989" spans="1:13" ht="12.75">
      <c r="A989" s="102"/>
      <c r="B989" s="102"/>
      <c r="C989" s="102"/>
      <c r="D989" s="103" t="s">
        <v>1560</v>
      </c>
      <c r="E989" s="102"/>
      <c r="F989" s="104">
        <v>17.6</v>
      </c>
      <c r="G989" s="102"/>
      <c r="H989" s="102"/>
      <c r="I989" s="102"/>
      <c r="J989" s="102"/>
      <c r="K989" s="102"/>
      <c r="L989" s="102"/>
      <c r="M989" s="102"/>
    </row>
    <row r="990" spans="1:13" ht="12.75">
      <c r="A990" s="102"/>
      <c r="B990" s="102"/>
      <c r="C990" s="102"/>
      <c r="D990" s="103" t="s">
        <v>1561</v>
      </c>
      <c r="E990" s="102"/>
      <c r="F990" s="104">
        <v>9.15</v>
      </c>
      <c r="G990" s="102"/>
      <c r="H990" s="102"/>
      <c r="I990" s="102"/>
      <c r="J990" s="102"/>
      <c r="K990" s="102"/>
      <c r="L990" s="102"/>
      <c r="M990" s="102"/>
    </row>
    <row r="991" spans="1:48" ht="12.75">
      <c r="A991" s="105" t="s">
        <v>359</v>
      </c>
      <c r="B991" s="105" t="s">
        <v>409</v>
      </c>
      <c r="C991" s="105" t="s">
        <v>729</v>
      </c>
      <c r="D991" s="105" t="s">
        <v>1562</v>
      </c>
      <c r="E991" s="105" t="s">
        <v>1640</v>
      </c>
      <c r="F991" s="106">
        <v>59.2</v>
      </c>
      <c r="G991" s="106">
        <v>0</v>
      </c>
      <c r="H991" s="106">
        <f>F991*AE991</f>
        <v>0</v>
      </c>
      <c r="I991" s="106">
        <f>J991-H991</f>
        <v>0</v>
      </c>
      <c r="J991" s="106">
        <f>F991*G991</f>
        <v>0</v>
      </c>
      <c r="K991" s="106">
        <v>0.13585</v>
      </c>
      <c r="L991" s="106">
        <f>F991*K991</f>
        <v>8.04232</v>
      </c>
      <c r="M991" s="107" t="s">
        <v>1667</v>
      </c>
      <c r="P991" s="14">
        <f>IF(AG991="5",J991,0)</f>
        <v>0</v>
      </c>
      <c r="R991" s="14">
        <f>IF(AG991="1",H991,0)</f>
        <v>0</v>
      </c>
      <c r="S991" s="14">
        <f>IF(AG991="1",I991,0)</f>
        <v>0</v>
      </c>
      <c r="T991" s="14">
        <f>IF(AG991="7",H991,0)</f>
        <v>0</v>
      </c>
      <c r="U991" s="14">
        <f>IF(AG991="7",I991,0)</f>
        <v>0</v>
      </c>
      <c r="V991" s="14">
        <f>IF(AG991="2",H991,0)</f>
        <v>0</v>
      </c>
      <c r="W991" s="14">
        <f>IF(AG991="2",I991,0)</f>
        <v>0</v>
      </c>
      <c r="X991" s="14">
        <f>IF(AG991="0",J991,0)</f>
        <v>0</v>
      </c>
      <c r="Y991" s="8" t="s">
        <v>409</v>
      </c>
      <c r="Z991" s="6">
        <f>IF(AD991=0,J991,0)</f>
        <v>0</v>
      </c>
      <c r="AA991" s="6">
        <f>IF(AD991=15,J991,0)</f>
        <v>0</v>
      </c>
      <c r="AB991" s="6">
        <f>IF(AD991=21,J991,0)</f>
        <v>0</v>
      </c>
      <c r="AD991" s="14">
        <v>15</v>
      </c>
      <c r="AE991" s="14">
        <f>G991*1</f>
        <v>0</v>
      </c>
      <c r="AF991" s="14">
        <f>G991*(1-1)</f>
        <v>0</v>
      </c>
      <c r="AG991" s="11" t="s">
        <v>7</v>
      </c>
      <c r="AM991" s="14">
        <f>F991*AE991</f>
        <v>0</v>
      </c>
      <c r="AN991" s="14">
        <f>F991*AF991</f>
        <v>0</v>
      </c>
      <c r="AO991" s="15" t="s">
        <v>1721</v>
      </c>
      <c r="AP991" s="15" t="s">
        <v>1756</v>
      </c>
      <c r="AQ991" s="8" t="s">
        <v>1772</v>
      </c>
      <c r="AS991" s="14">
        <f>AM991+AN991</f>
        <v>0</v>
      </c>
      <c r="AT991" s="14">
        <f>G991/(100-AU991)*100</f>
        <v>0</v>
      </c>
      <c r="AU991" s="14">
        <v>0</v>
      </c>
      <c r="AV991" s="14">
        <f>L991</f>
        <v>8.04232</v>
      </c>
    </row>
    <row r="992" spans="1:13" ht="12.75">
      <c r="A992" s="102"/>
      <c r="B992" s="102"/>
      <c r="C992" s="102"/>
      <c r="D992" s="103" t="s">
        <v>1563</v>
      </c>
      <c r="E992" s="102"/>
      <c r="F992" s="104">
        <v>59.2</v>
      </c>
      <c r="G992" s="102"/>
      <c r="H992" s="102"/>
      <c r="I992" s="102"/>
      <c r="J992" s="102"/>
      <c r="K992" s="102"/>
      <c r="L992" s="102"/>
      <c r="M992" s="102"/>
    </row>
    <row r="993" spans="1:48" ht="12.75">
      <c r="A993" s="99" t="s">
        <v>360</v>
      </c>
      <c r="B993" s="99" t="s">
        <v>409</v>
      </c>
      <c r="C993" s="99" t="s">
        <v>730</v>
      </c>
      <c r="D993" s="99" t="s">
        <v>1564</v>
      </c>
      <c r="E993" s="99" t="s">
        <v>1640</v>
      </c>
      <c r="F993" s="100">
        <v>53.94</v>
      </c>
      <c r="G993" s="100">
        <v>0</v>
      </c>
      <c r="H993" s="100">
        <f>F993*AE993</f>
        <v>0</v>
      </c>
      <c r="I993" s="100">
        <f>J993-H993</f>
        <v>0</v>
      </c>
      <c r="J993" s="100">
        <f>F993*G993</f>
        <v>0</v>
      </c>
      <c r="K993" s="100">
        <v>0.0739</v>
      </c>
      <c r="L993" s="100">
        <f>F993*K993</f>
        <v>3.9861659999999994</v>
      </c>
      <c r="M993" s="101" t="s">
        <v>1667</v>
      </c>
      <c r="P993" s="14">
        <f>IF(AG993="5",J993,0)</f>
        <v>0</v>
      </c>
      <c r="R993" s="14">
        <f>IF(AG993="1",H993,0)</f>
        <v>0</v>
      </c>
      <c r="S993" s="14">
        <f>IF(AG993="1",I993,0)</f>
        <v>0</v>
      </c>
      <c r="T993" s="14">
        <f>IF(AG993="7",H993,0)</f>
        <v>0</v>
      </c>
      <c r="U993" s="14">
        <f>IF(AG993="7",I993,0)</f>
        <v>0</v>
      </c>
      <c r="V993" s="14">
        <f>IF(AG993="2",H993,0)</f>
        <v>0</v>
      </c>
      <c r="W993" s="14">
        <f>IF(AG993="2",I993,0)</f>
        <v>0</v>
      </c>
      <c r="X993" s="14">
        <f>IF(AG993="0",J993,0)</f>
        <v>0</v>
      </c>
      <c r="Y993" s="8" t="s">
        <v>409</v>
      </c>
      <c r="Z993" s="5">
        <f>IF(AD993=0,J993,0)</f>
        <v>0</v>
      </c>
      <c r="AA993" s="5">
        <f>IF(AD993=15,J993,0)</f>
        <v>0</v>
      </c>
      <c r="AB993" s="5">
        <f>IF(AD993=21,J993,0)</f>
        <v>0</v>
      </c>
      <c r="AD993" s="14">
        <v>15</v>
      </c>
      <c r="AE993" s="14">
        <f>G993*0.175288683602771</f>
        <v>0</v>
      </c>
      <c r="AF993" s="14">
        <f>G993*(1-0.175288683602771)</f>
        <v>0</v>
      </c>
      <c r="AG993" s="10" t="s">
        <v>7</v>
      </c>
      <c r="AM993" s="14">
        <f>F993*AE993</f>
        <v>0</v>
      </c>
      <c r="AN993" s="14">
        <f>F993*AF993</f>
        <v>0</v>
      </c>
      <c r="AO993" s="15" t="s">
        <v>1721</v>
      </c>
      <c r="AP993" s="15" t="s">
        <v>1756</v>
      </c>
      <c r="AQ993" s="8" t="s">
        <v>1772</v>
      </c>
      <c r="AS993" s="14">
        <f>AM993+AN993</f>
        <v>0</v>
      </c>
      <c r="AT993" s="14">
        <f>G993/(100-AU993)*100</f>
        <v>0</v>
      </c>
      <c r="AU993" s="14">
        <v>0</v>
      </c>
      <c r="AV993" s="14">
        <f>L993</f>
        <v>3.9861659999999994</v>
      </c>
    </row>
    <row r="994" spans="1:13" ht="12.75">
      <c r="A994" s="102"/>
      <c r="B994" s="102"/>
      <c r="C994" s="102"/>
      <c r="D994" s="103" t="s">
        <v>1565</v>
      </c>
      <c r="E994" s="102"/>
      <c r="F994" s="104">
        <v>23.97</v>
      </c>
      <c r="G994" s="102"/>
      <c r="H994" s="102"/>
      <c r="I994" s="102"/>
      <c r="J994" s="102"/>
      <c r="K994" s="102"/>
      <c r="L994" s="102"/>
      <c r="M994" s="102"/>
    </row>
    <row r="995" spans="1:13" ht="12.75">
      <c r="A995" s="102"/>
      <c r="B995" s="102"/>
      <c r="C995" s="102"/>
      <c r="D995" s="103" t="s">
        <v>1566</v>
      </c>
      <c r="E995" s="102"/>
      <c r="F995" s="104">
        <v>4.32</v>
      </c>
      <c r="G995" s="102"/>
      <c r="H995" s="102"/>
      <c r="I995" s="102"/>
      <c r="J995" s="102"/>
      <c r="K995" s="102"/>
      <c r="L995" s="102"/>
      <c r="M995" s="102"/>
    </row>
    <row r="996" spans="1:13" ht="12.75">
      <c r="A996" s="102"/>
      <c r="B996" s="102"/>
      <c r="C996" s="102"/>
      <c r="D996" s="103" t="s">
        <v>1567</v>
      </c>
      <c r="E996" s="102"/>
      <c r="F996" s="104">
        <v>25.65</v>
      </c>
      <c r="G996" s="102"/>
      <c r="H996" s="102"/>
      <c r="I996" s="102"/>
      <c r="J996" s="102"/>
      <c r="K996" s="102"/>
      <c r="L996" s="102"/>
      <c r="M996" s="102"/>
    </row>
    <row r="997" spans="1:48" ht="12.75">
      <c r="A997" s="105" t="s">
        <v>361</v>
      </c>
      <c r="B997" s="105" t="s">
        <v>409</v>
      </c>
      <c r="C997" s="105" t="s">
        <v>729</v>
      </c>
      <c r="D997" s="105" t="s">
        <v>1562</v>
      </c>
      <c r="E997" s="105" t="s">
        <v>1640</v>
      </c>
      <c r="F997" s="106">
        <v>56.64</v>
      </c>
      <c r="G997" s="106">
        <v>0</v>
      </c>
      <c r="H997" s="106">
        <f>F997*AE997</f>
        <v>0</v>
      </c>
      <c r="I997" s="106">
        <f>J997-H997</f>
        <v>0</v>
      </c>
      <c r="J997" s="106">
        <f>F997*G997</f>
        <v>0</v>
      </c>
      <c r="K997" s="106">
        <v>0.13585</v>
      </c>
      <c r="L997" s="106">
        <f>F997*K997</f>
        <v>7.694544</v>
      </c>
      <c r="M997" s="107" t="s">
        <v>1667</v>
      </c>
      <c r="P997" s="14">
        <f>IF(AG997="5",J997,0)</f>
        <v>0</v>
      </c>
      <c r="R997" s="14">
        <f>IF(AG997="1",H997,0)</f>
        <v>0</v>
      </c>
      <c r="S997" s="14">
        <f>IF(AG997="1",I997,0)</f>
        <v>0</v>
      </c>
      <c r="T997" s="14">
        <f>IF(AG997="7",H997,0)</f>
        <v>0</v>
      </c>
      <c r="U997" s="14">
        <f>IF(AG997="7",I997,0)</f>
        <v>0</v>
      </c>
      <c r="V997" s="14">
        <f>IF(AG997="2",H997,0)</f>
        <v>0</v>
      </c>
      <c r="W997" s="14">
        <f>IF(AG997="2",I997,0)</f>
        <v>0</v>
      </c>
      <c r="X997" s="14">
        <f>IF(AG997="0",J997,0)</f>
        <v>0</v>
      </c>
      <c r="Y997" s="8" t="s">
        <v>409</v>
      </c>
      <c r="Z997" s="6">
        <f>IF(AD997=0,J997,0)</f>
        <v>0</v>
      </c>
      <c r="AA997" s="6">
        <f>IF(AD997=15,J997,0)</f>
        <v>0</v>
      </c>
      <c r="AB997" s="6">
        <f>IF(AD997=21,J997,0)</f>
        <v>0</v>
      </c>
      <c r="AD997" s="14">
        <v>15</v>
      </c>
      <c r="AE997" s="14">
        <f>G997*1</f>
        <v>0</v>
      </c>
      <c r="AF997" s="14">
        <f>G997*(1-1)</f>
        <v>0</v>
      </c>
      <c r="AG997" s="11" t="s">
        <v>7</v>
      </c>
      <c r="AM997" s="14">
        <f>F997*AE997</f>
        <v>0</v>
      </c>
      <c r="AN997" s="14">
        <f>F997*AF997</f>
        <v>0</v>
      </c>
      <c r="AO997" s="15" t="s">
        <v>1721</v>
      </c>
      <c r="AP997" s="15" t="s">
        <v>1756</v>
      </c>
      <c r="AQ997" s="8" t="s">
        <v>1772</v>
      </c>
      <c r="AS997" s="14">
        <f>AM997+AN997</f>
        <v>0</v>
      </c>
      <c r="AT997" s="14">
        <f>G997/(100-AU997)*100</f>
        <v>0</v>
      </c>
      <c r="AU997" s="14">
        <v>0</v>
      </c>
      <c r="AV997" s="14">
        <f>L997</f>
        <v>7.694544</v>
      </c>
    </row>
    <row r="998" spans="1:13" ht="12.75">
      <c r="A998" s="102"/>
      <c r="B998" s="102"/>
      <c r="C998" s="102"/>
      <c r="D998" s="103" t="s">
        <v>1568</v>
      </c>
      <c r="E998" s="102"/>
      <c r="F998" s="104">
        <v>56.64</v>
      </c>
      <c r="G998" s="102"/>
      <c r="H998" s="102"/>
      <c r="I998" s="102"/>
      <c r="J998" s="102"/>
      <c r="K998" s="102"/>
      <c r="L998" s="102"/>
      <c r="M998" s="102"/>
    </row>
    <row r="999" spans="1:37" ht="12.75">
      <c r="A999" s="93"/>
      <c r="B999" s="94" t="s">
        <v>409</v>
      </c>
      <c r="C999" s="94" t="s">
        <v>97</v>
      </c>
      <c r="D999" s="95" t="s">
        <v>1569</v>
      </c>
      <c r="E999" s="96"/>
      <c r="F999" s="96"/>
      <c r="G999" s="96"/>
      <c r="H999" s="97">
        <f>SUM(H1000:H1003)</f>
        <v>0</v>
      </c>
      <c r="I999" s="97">
        <f>SUM(I1000:I1003)</f>
        <v>0</v>
      </c>
      <c r="J999" s="97">
        <f>H999+I999</f>
        <v>0</v>
      </c>
      <c r="K999" s="98"/>
      <c r="L999" s="97">
        <f>SUM(L1000:L1003)</f>
        <v>5.840645800000001</v>
      </c>
      <c r="M999" s="98"/>
      <c r="Y999" s="8" t="s">
        <v>409</v>
      </c>
      <c r="AI999" s="16">
        <f>SUM(Z1000:Z1003)</f>
        <v>0</v>
      </c>
      <c r="AJ999" s="16">
        <f>SUM(AA1000:AA1003)</f>
        <v>0</v>
      </c>
      <c r="AK999" s="16">
        <f>SUM(AB1000:AB1003)</f>
        <v>0</v>
      </c>
    </row>
    <row r="1000" spans="1:48" ht="12.75">
      <c r="A1000" s="99" t="s">
        <v>362</v>
      </c>
      <c r="B1000" s="99" t="s">
        <v>409</v>
      </c>
      <c r="C1000" s="99" t="s">
        <v>731</v>
      </c>
      <c r="D1000" s="99" t="s">
        <v>1570</v>
      </c>
      <c r="E1000" s="99" t="s">
        <v>1643</v>
      </c>
      <c r="F1000" s="100">
        <v>23.29</v>
      </c>
      <c r="G1000" s="100">
        <v>0</v>
      </c>
      <c r="H1000" s="100">
        <f>F1000*AE1000</f>
        <v>0</v>
      </c>
      <c r="I1000" s="100">
        <f>J1000-H1000</f>
        <v>0</v>
      </c>
      <c r="J1000" s="100">
        <f>F1000*G1000</f>
        <v>0</v>
      </c>
      <c r="K1000" s="100">
        <v>0.12472</v>
      </c>
      <c r="L1000" s="100">
        <f>F1000*K1000</f>
        <v>2.9047288</v>
      </c>
      <c r="M1000" s="101" t="s">
        <v>1667</v>
      </c>
      <c r="P1000" s="14">
        <f>IF(AG1000="5",J1000,0)</f>
        <v>0</v>
      </c>
      <c r="R1000" s="14">
        <f>IF(AG1000="1",H1000,0)</f>
        <v>0</v>
      </c>
      <c r="S1000" s="14">
        <f>IF(AG1000="1",I1000,0)</f>
        <v>0</v>
      </c>
      <c r="T1000" s="14">
        <f>IF(AG1000="7",H1000,0)</f>
        <v>0</v>
      </c>
      <c r="U1000" s="14">
        <f>IF(AG1000="7",I1000,0)</f>
        <v>0</v>
      </c>
      <c r="V1000" s="14">
        <f>IF(AG1000="2",H1000,0)</f>
        <v>0</v>
      </c>
      <c r="W1000" s="14">
        <f>IF(AG1000="2",I1000,0)</f>
        <v>0</v>
      </c>
      <c r="X1000" s="14">
        <f>IF(AG1000="0",J1000,0)</f>
        <v>0</v>
      </c>
      <c r="Y1000" s="8" t="s">
        <v>409</v>
      </c>
      <c r="Z1000" s="5">
        <f>IF(AD1000=0,J1000,0)</f>
        <v>0</v>
      </c>
      <c r="AA1000" s="5">
        <f>IF(AD1000=15,J1000,0)</f>
        <v>0</v>
      </c>
      <c r="AB1000" s="5">
        <f>IF(AD1000=21,J1000,0)</f>
        <v>0</v>
      </c>
      <c r="AD1000" s="14">
        <v>15</v>
      </c>
      <c r="AE1000" s="14">
        <f>G1000*0.745026647670308</f>
        <v>0</v>
      </c>
      <c r="AF1000" s="14">
        <f>G1000*(1-0.745026647670308)</f>
        <v>0</v>
      </c>
      <c r="AG1000" s="10" t="s">
        <v>7</v>
      </c>
      <c r="AM1000" s="14">
        <f>F1000*AE1000</f>
        <v>0</v>
      </c>
      <c r="AN1000" s="14">
        <f>F1000*AF1000</f>
        <v>0</v>
      </c>
      <c r="AO1000" s="15" t="s">
        <v>1722</v>
      </c>
      <c r="AP1000" s="15" t="s">
        <v>1757</v>
      </c>
      <c r="AQ1000" s="8" t="s">
        <v>1772</v>
      </c>
      <c r="AS1000" s="14">
        <f>AM1000+AN1000</f>
        <v>0</v>
      </c>
      <c r="AT1000" s="14">
        <f>G1000/(100-AU1000)*100</f>
        <v>0</v>
      </c>
      <c r="AU1000" s="14">
        <v>0</v>
      </c>
      <c r="AV1000" s="14">
        <f>L1000</f>
        <v>2.9047288</v>
      </c>
    </row>
    <row r="1001" spans="1:13" ht="12.75">
      <c r="A1001" s="102"/>
      <c r="B1001" s="102"/>
      <c r="C1001" s="102"/>
      <c r="D1001" s="103" t="s">
        <v>1571</v>
      </c>
      <c r="E1001" s="102"/>
      <c r="F1001" s="104">
        <v>12.79</v>
      </c>
      <c r="G1001" s="102"/>
      <c r="H1001" s="102"/>
      <c r="I1001" s="102"/>
      <c r="J1001" s="102"/>
      <c r="K1001" s="102"/>
      <c r="L1001" s="102"/>
      <c r="M1001" s="102"/>
    </row>
    <row r="1002" spans="1:13" ht="12.75">
      <c r="A1002" s="102"/>
      <c r="B1002" s="102"/>
      <c r="C1002" s="102"/>
      <c r="D1002" s="103" t="s">
        <v>1572</v>
      </c>
      <c r="E1002" s="102"/>
      <c r="F1002" s="104">
        <v>10.5</v>
      </c>
      <c r="G1002" s="102"/>
      <c r="H1002" s="102"/>
      <c r="I1002" s="102"/>
      <c r="J1002" s="102"/>
      <c r="K1002" s="102"/>
      <c r="L1002" s="102"/>
      <c r="M1002" s="102"/>
    </row>
    <row r="1003" spans="1:48" ht="12.75">
      <c r="A1003" s="99" t="s">
        <v>363</v>
      </c>
      <c r="B1003" s="99" t="s">
        <v>409</v>
      </c>
      <c r="C1003" s="99" t="s">
        <v>732</v>
      </c>
      <c r="D1003" s="99" t="s">
        <v>1573</v>
      </c>
      <c r="E1003" s="99" t="s">
        <v>1643</v>
      </c>
      <c r="F1003" s="100">
        <v>15.3</v>
      </c>
      <c r="G1003" s="100">
        <v>0</v>
      </c>
      <c r="H1003" s="100">
        <f>F1003*AE1003</f>
        <v>0</v>
      </c>
      <c r="I1003" s="100">
        <f>J1003-H1003</f>
        <v>0</v>
      </c>
      <c r="J1003" s="100">
        <f>F1003*G1003</f>
        <v>0</v>
      </c>
      <c r="K1003" s="100">
        <v>0.19189</v>
      </c>
      <c r="L1003" s="100">
        <f>F1003*K1003</f>
        <v>2.9359170000000003</v>
      </c>
      <c r="M1003" s="101" t="s">
        <v>1667</v>
      </c>
      <c r="P1003" s="14">
        <f>IF(AG1003="5",J1003,0)</f>
        <v>0</v>
      </c>
      <c r="R1003" s="14">
        <f>IF(AG1003="1",H1003,0)</f>
        <v>0</v>
      </c>
      <c r="S1003" s="14">
        <f>IF(AG1003="1",I1003,0)</f>
        <v>0</v>
      </c>
      <c r="T1003" s="14">
        <f>IF(AG1003="7",H1003,0)</f>
        <v>0</v>
      </c>
      <c r="U1003" s="14">
        <f>IF(AG1003="7",I1003,0)</f>
        <v>0</v>
      </c>
      <c r="V1003" s="14">
        <f>IF(AG1003="2",H1003,0)</f>
        <v>0</v>
      </c>
      <c r="W1003" s="14">
        <f>IF(AG1003="2",I1003,0)</f>
        <v>0</v>
      </c>
      <c r="X1003" s="14">
        <f>IF(AG1003="0",J1003,0)</f>
        <v>0</v>
      </c>
      <c r="Y1003" s="8" t="s">
        <v>409</v>
      </c>
      <c r="Z1003" s="5">
        <f>IF(AD1003=0,J1003,0)</f>
        <v>0</v>
      </c>
      <c r="AA1003" s="5">
        <f>IF(AD1003=15,J1003,0)</f>
        <v>0</v>
      </c>
      <c r="AB1003" s="5">
        <f>IF(AD1003=21,J1003,0)</f>
        <v>0</v>
      </c>
      <c r="AD1003" s="14">
        <v>15</v>
      </c>
      <c r="AE1003" s="14">
        <f>G1003*0.787052940951945</f>
        <v>0</v>
      </c>
      <c r="AF1003" s="14">
        <f>G1003*(1-0.787052940951945)</f>
        <v>0</v>
      </c>
      <c r="AG1003" s="10" t="s">
        <v>7</v>
      </c>
      <c r="AM1003" s="14">
        <f>F1003*AE1003</f>
        <v>0</v>
      </c>
      <c r="AN1003" s="14">
        <f>F1003*AF1003</f>
        <v>0</v>
      </c>
      <c r="AO1003" s="15" t="s">
        <v>1722</v>
      </c>
      <c r="AP1003" s="15" t="s">
        <v>1757</v>
      </c>
      <c r="AQ1003" s="8" t="s">
        <v>1772</v>
      </c>
      <c r="AS1003" s="14">
        <f>AM1003+AN1003</f>
        <v>0</v>
      </c>
      <c r="AT1003" s="14">
        <f>G1003/(100-AU1003)*100</f>
        <v>0</v>
      </c>
      <c r="AU1003" s="14">
        <v>0</v>
      </c>
      <c r="AV1003" s="14">
        <f>L1003</f>
        <v>2.9359170000000003</v>
      </c>
    </row>
    <row r="1004" spans="1:13" ht="12.75">
      <c r="A1004" s="102"/>
      <c r="B1004" s="102"/>
      <c r="C1004" s="102"/>
      <c r="D1004" s="103" t="s">
        <v>1574</v>
      </c>
      <c r="E1004" s="102"/>
      <c r="F1004" s="104">
        <v>4.9</v>
      </c>
      <c r="G1004" s="102"/>
      <c r="H1004" s="102"/>
      <c r="I1004" s="102"/>
      <c r="J1004" s="102"/>
      <c r="K1004" s="102"/>
      <c r="L1004" s="102"/>
      <c r="M1004" s="102"/>
    </row>
    <row r="1005" spans="1:13" ht="12.75">
      <c r="A1005" s="102"/>
      <c r="B1005" s="102"/>
      <c r="C1005" s="102"/>
      <c r="D1005" s="103" t="s">
        <v>1575</v>
      </c>
      <c r="E1005" s="102"/>
      <c r="F1005" s="104">
        <v>5</v>
      </c>
      <c r="G1005" s="102"/>
      <c r="H1005" s="102"/>
      <c r="I1005" s="102"/>
      <c r="J1005" s="102"/>
      <c r="K1005" s="102"/>
      <c r="L1005" s="102"/>
      <c r="M1005" s="102"/>
    </row>
    <row r="1006" spans="1:13" ht="12.75">
      <c r="A1006" s="102"/>
      <c r="B1006" s="102"/>
      <c r="C1006" s="102"/>
      <c r="D1006" s="103" t="s">
        <v>1576</v>
      </c>
      <c r="E1006" s="102"/>
      <c r="F1006" s="104">
        <v>5.4</v>
      </c>
      <c r="G1006" s="102"/>
      <c r="H1006" s="102"/>
      <c r="I1006" s="102"/>
      <c r="J1006" s="102"/>
      <c r="K1006" s="102"/>
      <c r="L1006" s="102"/>
      <c r="M1006" s="102"/>
    </row>
    <row r="1007" spans="1:37" ht="12.75">
      <c r="A1007" s="93"/>
      <c r="B1007" s="94" t="s">
        <v>409</v>
      </c>
      <c r="C1007" s="94" t="s">
        <v>733</v>
      </c>
      <c r="D1007" s="95" t="s">
        <v>1577</v>
      </c>
      <c r="E1007" s="96"/>
      <c r="F1007" s="96"/>
      <c r="G1007" s="96"/>
      <c r="H1007" s="97">
        <f>SUM(H1008:H1008)</f>
        <v>0</v>
      </c>
      <c r="I1007" s="97">
        <f>SUM(I1008:I1008)</f>
        <v>0</v>
      </c>
      <c r="J1007" s="97">
        <f>H1007+I1007</f>
        <v>0</v>
      </c>
      <c r="K1007" s="98"/>
      <c r="L1007" s="97">
        <f>SUM(L1008:L1008)</f>
        <v>0</v>
      </c>
      <c r="M1007" s="98"/>
      <c r="Y1007" s="8" t="s">
        <v>409</v>
      </c>
      <c r="AI1007" s="16">
        <f>SUM(Z1008:Z1008)</f>
        <v>0</v>
      </c>
      <c r="AJ1007" s="16">
        <f>SUM(AA1008:AA1008)</f>
        <v>0</v>
      </c>
      <c r="AK1007" s="16">
        <f>SUM(AB1008:AB1008)</f>
        <v>0</v>
      </c>
    </row>
    <row r="1008" spans="1:48" ht="12.75">
      <c r="A1008" s="99" t="s">
        <v>364</v>
      </c>
      <c r="B1008" s="99" t="s">
        <v>409</v>
      </c>
      <c r="C1008" s="99" t="s">
        <v>734</v>
      </c>
      <c r="D1008" s="99" t="s">
        <v>1578</v>
      </c>
      <c r="E1008" s="99" t="s">
        <v>1642</v>
      </c>
      <c r="F1008" s="100">
        <v>121.35</v>
      </c>
      <c r="G1008" s="100">
        <v>0</v>
      </c>
      <c r="H1008" s="100">
        <f>F1008*AE1008</f>
        <v>0</v>
      </c>
      <c r="I1008" s="100">
        <f>J1008-H1008</f>
        <v>0</v>
      </c>
      <c r="J1008" s="100">
        <f>F1008*G1008</f>
        <v>0</v>
      </c>
      <c r="K1008" s="100">
        <v>0</v>
      </c>
      <c r="L1008" s="100">
        <f>F1008*K1008</f>
        <v>0</v>
      </c>
      <c r="M1008" s="101" t="s">
        <v>1667</v>
      </c>
      <c r="P1008" s="14">
        <f>IF(AG1008="5",J1008,0)</f>
        <v>0</v>
      </c>
      <c r="R1008" s="14">
        <f>IF(AG1008="1",H1008,0)</f>
        <v>0</v>
      </c>
      <c r="S1008" s="14">
        <f>IF(AG1008="1",I1008,0)</f>
        <v>0</v>
      </c>
      <c r="T1008" s="14">
        <f>IF(AG1008="7",H1008,0)</f>
        <v>0</v>
      </c>
      <c r="U1008" s="14">
        <f>IF(AG1008="7",I1008,0)</f>
        <v>0</v>
      </c>
      <c r="V1008" s="14">
        <f>IF(AG1008="2",H1008,0)</f>
        <v>0</v>
      </c>
      <c r="W1008" s="14">
        <f>IF(AG1008="2",I1008,0)</f>
        <v>0</v>
      </c>
      <c r="X1008" s="14">
        <f>IF(AG1008="0",J1008,0)</f>
        <v>0</v>
      </c>
      <c r="Y1008" s="8" t="s">
        <v>409</v>
      </c>
      <c r="Z1008" s="5">
        <f>IF(AD1008=0,J1008,0)</f>
        <v>0</v>
      </c>
      <c r="AA1008" s="5">
        <f>IF(AD1008=15,J1008,0)</f>
        <v>0</v>
      </c>
      <c r="AB1008" s="5">
        <f>IF(AD1008=21,J1008,0)</f>
        <v>0</v>
      </c>
      <c r="AD1008" s="14">
        <v>15</v>
      </c>
      <c r="AE1008" s="14">
        <f>G1008*0</f>
        <v>0</v>
      </c>
      <c r="AF1008" s="14">
        <f>G1008*(1-0)</f>
        <v>0</v>
      </c>
      <c r="AG1008" s="10" t="s">
        <v>11</v>
      </c>
      <c r="AM1008" s="14">
        <f>F1008*AE1008</f>
        <v>0</v>
      </c>
      <c r="AN1008" s="14">
        <f>F1008*AF1008</f>
        <v>0</v>
      </c>
      <c r="AO1008" s="15" t="s">
        <v>1723</v>
      </c>
      <c r="AP1008" s="15" t="s">
        <v>1757</v>
      </c>
      <c r="AQ1008" s="8" t="s">
        <v>1772</v>
      </c>
      <c r="AS1008" s="14">
        <f>AM1008+AN1008</f>
        <v>0</v>
      </c>
      <c r="AT1008" s="14">
        <f>G1008/(100-AU1008)*100</f>
        <v>0</v>
      </c>
      <c r="AU1008" s="14">
        <v>0</v>
      </c>
      <c r="AV1008" s="14">
        <f>L1008</f>
        <v>0</v>
      </c>
    </row>
    <row r="1009" spans="1:13" ht="12.75">
      <c r="A1009" s="113"/>
      <c r="B1009" s="114" t="s">
        <v>410</v>
      </c>
      <c r="C1009" s="114"/>
      <c r="D1009" s="115" t="s">
        <v>1579</v>
      </c>
      <c r="E1009" s="116"/>
      <c r="F1009" s="116"/>
      <c r="G1009" s="116"/>
      <c r="H1009" s="117">
        <f>H1010+H1018+H1022+H1026+H1037+H1049+H1060+H1063</f>
        <v>0</v>
      </c>
      <c r="I1009" s="117">
        <f>I1010+I1018+I1022+I1026+I1037+I1049+I1060+I1063</f>
        <v>0</v>
      </c>
      <c r="J1009" s="117">
        <f>H1009+I1009</f>
        <v>0</v>
      </c>
      <c r="K1009" s="118"/>
      <c r="L1009" s="117">
        <f>L1010+L1018+L1022+L1026+L1037+L1049+L1060+L1063</f>
        <v>25.0928926</v>
      </c>
      <c r="M1009" s="118"/>
    </row>
    <row r="1010" spans="1:37" ht="12.75">
      <c r="A1010" s="93"/>
      <c r="B1010" s="94" t="s">
        <v>410</v>
      </c>
      <c r="C1010" s="94" t="s">
        <v>19</v>
      </c>
      <c r="D1010" s="95" t="s">
        <v>781</v>
      </c>
      <c r="E1010" s="96"/>
      <c r="F1010" s="96"/>
      <c r="G1010" s="96"/>
      <c r="H1010" s="97">
        <f>SUM(H1011:H1017)</f>
        <v>0</v>
      </c>
      <c r="I1010" s="97">
        <f>SUM(I1011:I1017)</f>
        <v>0</v>
      </c>
      <c r="J1010" s="97">
        <f>H1010+I1010</f>
        <v>0</v>
      </c>
      <c r="K1010" s="98"/>
      <c r="L1010" s="97">
        <f>SUM(L1011:L1017)</f>
        <v>0</v>
      </c>
      <c r="M1010" s="98"/>
      <c r="Y1010" s="8" t="s">
        <v>410</v>
      </c>
      <c r="AI1010" s="16">
        <f>SUM(Z1011:Z1017)</f>
        <v>0</v>
      </c>
      <c r="AJ1010" s="16">
        <f>SUM(AA1011:AA1017)</f>
        <v>0</v>
      </c>
      <c r="AK1010" s="16">
        <f>SUM(AB1011:AB1017)</f>
        <v>0</v>
      </c>
    </row>
    <row r="1011" spans="1:48" ht="12.75">
      <c r="A1011" s="99" t="s">
        <v>365</v>
      </c>
      <c r="B1011" s="99" t="s">
        <v>410</v>
      </c>
      <c r="C1011" s="99" t="s">
        <v>735</v>
      </c>
      <c r="D1011" s="99" t="s">
        <v>1580</v>
      </c>
      <c r="E1011" s="99" t="s">
        <v>1639</v>
      </c>
      <c r="F1011" s="100">
        <v>1.04</v>
      </c>
      <c r="G1011" s="100">
        <v>0</v>
      </c>
      <c r="H1011" s="100">
        <f>F1011*AE1011</f>
        <v>0</v>
      </c>
      <c r="I1011" s="100">
        <f>J1011-H1011</f>
        <v>0</v>
      </c>
      <c r="J1011" s="100">
        <f>F1011*G1011</f>
        <v>0</v>
      </c>
      <c r="K1011" s="100">
        <v>0</v>
      </c>
      <c r="L1011" s="100">
        <f>F1011*K1011</f>
        <v>0</v>
      </c>
      <c r="M1011" s="101" t="s">
        <v>1667</v>
      </c>
      <c r="P1011" s="14">
        <f>IF(AG1011="5",J1011,0)</f>
        <v>0</v>
      </c>
      <c r="R1011" s="14">
        <f>IF(AG1011="1",H1011,0)</f>
        <v>0</v>
      </c>
      <c r="S1011" s="14">
        <f>IF(AG1011="1",I1011,0)</f>
        <v>0</v>
      </c>
      <c r="T1011" s="14">
        <f>IF(AG1011="7",H1011,0)</f>
        <v>0</v>
      </c>
      <c r="U1011" s="14">
        <f>IF(AG1011="7",I1011,0)</f>
        <v>0</v>
      </c>
      <c r="V1011" s="14">
        <f>IF(AG1011="2",H1011,0)</f>
        <v>0</v>
      </c>
      <c r="W1011" s="14">
        <f>IF(AG1011="2",I1011,0)</f>
        <v>0</v>
      </c>
      <c r="X1011" s="14">
        <f>IF(AG1011="0",J1011,0)</f>
        <v>0</v>
      </c>
      <c r="Y1011" s="8" t="s">
        <v>410</v>
      </c>
      <c r="Z1011" s="5">
        <f>IF(AD1011=0,J1011,0)</f>
        <v>0</v>
      </c>
      <c r="AA1011" s="5">
        <f>IF(AD1011=15,J1011,0)</f>
        <v>0</v>
      </c>
      <c r="AB1011" s="5">
        <f>IF(AD1011=21,J1011,0)</f>
        <v>0</v>
      </c>
      <c r="AD1011" s="14">
        <v>15</v>
      </c>
      <c r="AE1011" s="14">
        <f>G1011*0</f>
        <v>0</v>
      </c>
      <c r="AF1011" s="14">
        <f>G1011*(1-0)</f>
        <v>0</v>
      </c>
      <c r="AG1011" s="10" t="s">
        <v>7</v>
      </c>
      <c r="AM1011" s="14">
        <f>F1011*AE1011</f>
        <v>0</v>
      </c>
      <c r="AN1011" s="14">
        <f>F1011*AF1011</f>
        <v>0</v>
      </c>
      <c r="AO1011" s="15" t="s">
        <v>1682</v>
      </c>
      <c r="AP1011" s="15" t="s">
        <v>1758</v>
      </c>
      <c r="AQ1011" s="8" t="s">
        <v>1773</v>
      </c>
      <c r="AS1011" s="14">
        <f>AM1011+AN1011</f>
        <v>0</v>
      </c>
      <c r="AT1011" s="14">
        <f>G1011/(100-AU1011)*100</f>
        <v>0</v>
      </c>
      <c r="AU1011" s="14">
        <v>0</v>
      </c>
      <c r="AV1011" s="14">
        <f>L1011</f>
        <v>0</v>
      </c>
    </row>
    <row r="1012" spans="1:13" ht="12.75">
      <c r="A1012" s="102"/>
      <c r="B1012" s="102"/>
      <c r="C1012" s="102"/>
      <c r="D1012" s="103" t="s">
        <v>1581</v>
      </c>
      <c r="E1012" s="102"/>
      <c r="F1012" s="104">
        <v>0.89</v>
      </c>
      <c r="G1012" s="102"/>
      <c r="H1012" s="102"/>
      <c r="I1012" s="102"/>
      <c r="J1012" s="102"/>
      <c r="K1012" s="102"/>
      <c r="L1012" s="102"/>
      <c r="M1012" s="102"/>
    </row>
    <row r="1013" spans="1:13" ht="12.75">
      <c r="A1013" s="102"/>
      <c r="B1013" s="102"/>
      <c r="C1013" s="102"/>
      <c r="D1013" s="103" t="s">
        <v>1582</v>
      </c>
      <c r="E1013" s="102"/>
      <c r="F1013" s="104">
        <v>0.15</v>
      </c>
      <c r="G1013" s="102"/>
      <c r="H1013" s="102"/>
      <c r="I1013" s="102"/>
      <c r="J1013" s="102"/>
      <c r="K1013" s="102"/>
      <c r="L1013" s="102"/>
      <c r="M1013" s="102"/>
    </row>
    <row r="1014" spans="1:48" ht="12.75">
      <c r="A1014" s="99" t="s">
        <v>366</v>
      </c>
      <c r="B1014" s="99" t="s">
        <v>410</v>
      </c>
      <c r="C1014" s="99" t="s">
        <v>420</v>
      </c>
      <c r="D1014" s="99" t="s">
        <v>783</v>
      </c>
      <c r="E1014" s="99" t="s">
        <v>1639</v>
      </c>
      <c r="F1014" s="100">
        <v>5.55</v>
      </c>
      <c r="G1014" s="100">
        <v>0</v>
      </c>
      <c r="H1014" s="100">
        <f>F1014*AE1014</f>
        <v>0</v>
      </c>
      <c r="I1014" s="100">
        <f>J1014-H1014</f>
        <v>0</v>
      </c>
      <c r="J1014" s="100">
        <f>F1014*G1014</f>
        <v>0</v>
      </c>
      <c r="K1014" s="100">
        <v>0</v>
      </c>
      <c r="L1014" s="100">
        <f>F1014*K1014</f>
        <v>0</v>
      </c>
      <c r="M1014" s="101" t="s">
        <v>1667</v>
      </c>
      <c r="P1014" s="14">
        <f>IF(AG1014="5",J1014,0)</f>
        <v>0</v>
      </c>
      <c r="R1014" s="14">
        <f>IF(AG1014="1",H1014,0)</f>
        <v>0</v>
      </c>
      <c r="S1014" s="14">
        <f>IF(AG1014="1",I1014,0)</f>
        <v>0</v>
      </c>
      <c r="T1014" s="14">
        <f>IF(AG1014="7",H1014,0)</f>
        <v>0</v>
      </c>
      <c r="U1014" s="14">
        <f>IF(AG1014="7",I1014,0)</f>
        <v>0</v>
      </c>
      <c r="V1014" s="14">
        <f>IF(AG1014="2",H1014,0)</f>
        <v>0</v>
      </c>
      <c r="W1014" s="14">
        <f>IF(AG1014="2",I1014,0)</f>
        <v>0</v>
      </c>
      <c r="X1014" s="14">
        <f>IF(AG1014="0",J1014,0)</f>
        <v>0</v>
      </c>
      <c r="Y1014" s="8" t="s">
        <v>410</v>
      </c>
      <c r="Z1014" s="5">
        <f>IF(AD1014=0,J1014,0)</f>
        <v>0</v>
      </c>
      <c r="AA1014" s="5">
        <f>IF(AD1014=15,J1014,0)</f>
        <v>0</v>
      </c>
      <c r="AB1014" s="5">
        <f>IF(AD1014=21,J1014,0)</f>
        <v>0</v>
      </c>
      <c r="AD1014" s="14">
        <v>15</v>
      </c>
      <c r="AE1014" s="14">
        <f>G1014*0</f>
        <v>0</v>
      </c>
      <c r="AF1014" s="14">
        <f>G1014*(1-0)</f>
        <v>0</v>
      </c>
      <c r="AG1014" s="10" t="s">
        <v>7</v>
      </c>
      <c r="AM1014" s="14">
        <f>F1014*AE1014</f>
        <v>0</v>
      </c>
      <c r="AN1014" s="14">
        <f>F1014*AF1014</f>
        <v>0</v>
      </c>
      <c r="AO1014" s="15" t="s">
        <v>1682</v>
      </c>
      <c r="AP1014" s="15" t="s">
        <v>1758</v>
      </c>
      <c r="AQ1014" s="8" t="s">
        <v>1773</v>
      </c>
      <c r="AS1014" s="14">
        <f>AM1014+AN1014</f>
        <v>0</v>
      </c>
      <c r="AT1014" s="14">
        <f>G1014/(100-AU1014)*100</f>
        <v>0</v>
      </c>
      <c r="AU1014" s="14">
        <v>0</v>
      </c>
      <c r="AV1014" s="14">
        <f>L1014</f>
        <v>0</v>
      </c>
    </row>
    <row r="1015" spans="1:13" ht="12.75">
      <c r="A1015" s="102"/>
      <c r="B1015" s="102"/>
      <c r="C1015" s="102"/>
      <c r="D1015" s="103" t="s">
        <v>1583</v>
      </c>
      <c r="E1015" s="102"/>
      <c r="F1015" s="104">
        <v>3.22</v>
      </c>
      <c r="G1015" s="102"/>
      <c r="H1015" s="102"/>
      <c r="I1015" s="102"/>
      <c r="J1015" s="102"/>
      <c r="K1015" s="102"/>
      <c r="L1015" s="102"/>
      <c r="M1015" s="102"/>
    </row>
    <row r="1016" spans="1:13" ht="12.75">
      <c r="A1016" s="102"/>
      <c r="B1016" s="102"/>
      <c r="C1016" s="102"/>
      <c r="D1016" s="103" t="s">
        <v>1584</v>
      </c>
      <c r="E1016" s="102"/>
      <c r="F1016" s="104">
        <v>2.33</v>
      </c>
      <c r="G1016" s="102"/>
      <c r="H1016" s="102"/>
      <c r="I1016" s="102"/>
      <c r="J1016" s="102"/>
      <c r="K1016" s="102"/>
      <c r="L1016" s="102"/>
      <c r="M1016" s="102"/>
    </row>
    <row r="1017" spans="1:48" ht="12.75">
      <c r="A1017" s="99" t="s">
        <v>367</v>
      </c>
      <c r="B1017" s="99" t="s">
        <v>410</v>
      </c>
      <c r="C1017" s="99" t="s">
        <v>419</v>
      </c>
      <c r="D1017" s="99" t="s">
        <v>782</v>
      </c>
      <c r="E1017" s="99" t="s">
        <v>1639</v>
      </c>
      <c r="F1017" s="100">
        <v>5.55</v>
      </c>
      <c r="G1017" s="100">
        <v>0</v>
      </c>
      <c r="H1017" s="100">
        <f>F1017*AE1017</f>
        <v>0</v>
      </c>
      <c r="I1017" s="100">
        <f>J1017-H1017</f>
        <v>0</v>
      </c>
      <c r="J1017" s="100">
        <f>F1017*G1017</f>
        <v>0</v>
      </c>
      <c r="K1017" s="100">
        <v>0</v>
      </c>
      <c r="L1017" s="100">
        <f>F1017*K1017</f>
        <v>0</v>
      </c>
      <c r="M1017" s="101" t="s">
        <v>1667</v>
      </c>
      <c r="P1017" s="14">
        <f>IF(AG1017="5",J1017,0)</f>
        <v>0</v>
      </c>
      <c r="R1017" s="14">
        <f>IF(AG1017="1",H1017,0)</f>
        <v>0</v>
      </c>
      <c r="S1017" s="14">
        <f>IF(AG1017="1",I1017,0)</f>
        <v>0</v>
      </c>
      <c r="T1017" s="14">
        <f>IF(AG1017="7",H1017,0)</f>
        <v>0</v>
      </c>
      <c r="U1017" s="14">
        <f>IF(AG1017="7",I1017,0)</f>
        <v>0</v>
      </c>
      <c r="V1017" s="14">
        <f>IF(AG1017="2",H1017,0)</f>
        <v>0</v>
      </c>
      <c r="W1017" s="14">
        <f>IF(AG1017="2",I1017,0)</f>
        <v>0</v>
      </c>
      <c r="X1017" s="14">
        <f>IF(AG1017="0",J1017,0)</f>
        <v>0</v>
      </c>
      <c r="Y1017" s="8" t="s">
        <v>410</v>
      </c>
      <c r="Z1017" s="5">
        <f>IF(AD1017=0,J1017,0)</f>
        <v>0</v>
      </c>
      <c r="AA1017" s="5">
        <f>IF(AD1017=15,J1017,0)</f>
        <v>0</v>
      </c>
      <c r="AB1017" s="5">
        <f>IF(AD1017=21,J1017,0)</f>
        <v>0</v>
      </c>
      <c r="AD1017" s="14">
        <v>15</v>
      </c>
      <c r="AE1017" s="14">
        <f>G1017*0</f>
        <v>0</v>
      </c>
      <c r="AF1017" s="14">
        <f>G1017*(1-0)</f>
        <v>0</v>
      </c>
      <c r="AG1017" s="10" t="s">
        <v>7</v>
      </c>
      <c r="AM1017" s="14">
        <f>F1017*AE1017</f>
        <v>0</v>
      </c>
      <c r="AN1017" s="14">
        <f>F1017*AF1017</f>
        <v>0</v>
      </c>
      <c r="AO1017" s="15" t="s">
        <v>1682</v>
      </c>
      <c r="AP1017" s="15" t="s">
        <v>1758</v>
      </c>
      <c r="AQ1017" s="8" t="s">
        <v>1773</v>
      </c>
      <c r="AS1017" s="14">
        <f>AM1017+AN1017</f>
        <v>0</v>
      </c>
      <c r="AT1017" s="14">
        <f>G1017/(100-AU1017)*100</f>
        <v>0</v>
      </c>
      <c r="AU1017" s="14">
        <v>0</v>
      </c>
      <c r="AV1017" s="14">
        <f>L1017</f>
        <v>0</v>
      </c>
    </row>
    <row r="1018" spans="1:37" ht="12.75">
      <c r="A1018" s="93"/>
      <c r="B1018" s="94" t="s">
        <v>410</v>
      </c>
      <c r="C1018" s="94" t="s">
        <v>22</v>
      </c>
      <c r="D1018" s="95" t="s">
        <v>795</v>
      </c>
      <c r="E1018" s="96"/>
      <c r="F1018" s="96"/>
      <c r="G1018" s="96"/>
      <c r="H1018" s="97">
        <f>SUM(H1019:H1021)</f>
        <v>0</v>
      </c>
      <c r="I1018" s="97">
        <f>SUM(I1019:I1021)</f>
        <v>0</v>
      </c>
      <c r="J1018" s="97">
        <f>H1018+I1018</f>
        <v>0</v>
      </c>
      <c r="K1018" s="98"/>
      <c r="L1018" s="97">
        <f>SUM(L1019:L1021)</f>
        <v>0</v>
      </c>
      <c r="M1018" s="98"/>
      <c r="Y1018" s="8" t="s">
        <v>410</v>
      </c>
      <c r="AI1018" s="16">
        <f>SUM(Z1019:Z1021)</f>
        <v>0</v>
      </c>
      <c r="AJ1018" s="16">
        <f>SUM(AA1019:AA1021)</f>
        <v>0</v>
      </c>
      <c r="AK1018" s="16">
        <f>SUM(AB1019:AB1021)</f>
        <v>0</v>
      </c>
    </row>
    <row r="1019" spans="1:48" ht="12.75">
      <c r="A1019" s="99" t="s">
        <v>368</v>
      </c>
      <c r="B1019" s="99" t="s">
        <v>410</v>
      </c>
      <c r="C1019" s="99" t="s">
        <v>421</v>
      </c>
      <c r="D1019" s="99" t="s">
        <v>796</v>
      </c>
      <c r="E1019" s="99" t="s">
        <v>1639</v>
      </c>
      <c r="F1019" s="100">
        <v>5.55</v>
      </c>
      <c r="G1019" s="100">
        <v>0</v>
      </c>
      <c r="H1019" s="100">
        <f>F1019*AE1019</f>
        <v>0</v>
      </c>
      <c r="I1019" s="100">
        <f>J1019-H1019</f>
        <v>0</v>
      </c>
      <c r="J1019" s="100">
        <f>F1019*G1019</f>
        <v>0</v>
      </c>
      <c r="K1019" s="100">
        <v>0</v>
      </c>
      <c r="L1019" s="100">
        <f>F1019*K1019</f>
        <v>0</v>
      </c>
      <c r="M1019" s="101" t="s">
        <v>1667</v>
      </c>
      <c r="P1019" s="14">
        <f>IF(AG1019="5",J1019,0)</f>
        <v>0</v>
      </c>
      <c r="R1019" s="14">
        <f>IF(AG1019="1",H1019,0)</f>
        <v>0</v>
      </c>
      <c r="S1019" s="14">
        <f>IF(AG1019="1",I1019,0)</f>
        <v>0</v>
      </c>
      <c r="T1019" s="14">
        <f>IF(AG1019="7",H1019,0)</f>
        <v>0</v>
      </c>
      <c r="U1019" s="14">
        <f>IF(AG1019="7",I1019,0)</f>
        <v>0</v>
      </c>
      <c r="V1019" s="14">
        <f>IF(AG1019="2",H1019,0)</f>
        <v>0</v>
      </c>
      <c r="W1019" s="14">
        <f>IF(AG1019="2",I1019,0)</f>
        <v>0</v>
      </c>
      <c r="X1019" s="14">
        <f>IF(AG1019="0",J1019,0)</f>
        <v>0</v>
      </c>
      <c r="Y1019" s="8" t="s">
        <v>410</v>
      </c>
      <c r="Z1019" s="5">
        <f>IF(AD1019=0,J1019,0)</f>
        <v>0</v>
      </c>
      <c r="AA1019" s="5">
        <f>IF(AD1019=15,J1019,0)</f>
        <v>0</v>
      </c>
      <c r="AB1019" s="5">
        <f>IF(AD1019=21,J1019,0)</f>
        <v>0</v>
      </c>
      <c r="AD1019" s="14">
        <v>15</v>
      </c>
      <c r="AE1019" s="14">
        <f>G1019*0</f>
        <v>0</v>
      </c>
      <c r="AF1019" s="14">
        <f>G1019*(1-0)</f>
        <v>0</v>
      </c>
      <c r="AG1019" s="10" t="s">
        <v>7</v>
      </c>
      <c r="AM1019" s="14">
        <f>F1019*AE1019</f>
        <v>0</v>
      </c>
      <c r="AN1019" s="14">
        <f>F1019*AF1019</f>
        <v>0</v>
      </c>
      <c r="AO1019" s="15" t="s">
        <v>1683</v>
      </c>
      <c r="AP1019" s="15" t="s">
        <v>1758</v>
      </c>
      <c r="AQ1019" s="8" t="s">
        <v>1773</v>
      </c>
      <c r="AS1019" s="14">
        <f>AM1019+AN1019</f>
        <v>0</v>
      </c>
      <c r="AT1019" s="14">
        <f>G1019/(100-AU1019)*100</f>
        <v>0</v>
      </c>
      <c r="AU1019" s="14">
        <v>0</v>
      </c>
      <c r="AV1019" s="14">
        <f>L1019</f>
        <v>0</v>
      </c>
    </row>
    <row r="1020" spans="1:48" ht="12.75">
      <c r="A1020" s="99" t="s">
        <v>369</v>
      </c>
      <c r="B1020" s="99" t="s">
        <v>410</v>
      </c>
      <c r="C1020" s="99" t="s">
        <v>422</v>
      </c>
      <c r="D1020" s="99" t="s">
        <v>799</v>
      </c>
      <c r="E1020" s="99" t="s">
        <v>1639</v>
      </c>
      <c r="F1020" s="100">
        <v>5.55</v>
      </c>
      <c r="G1020" s="100">
        <v>0</v>
      </c>
      <c r="H1020" s="100">
        <f>F1020*AE1020</f>
        <v>0</v>
      </c>
      <c r="I1020" s="100">
        <f>J1020-H1020</f>
        <v>0</v>
      </c>
      <c r="J1020" s="100">
        <f>F1020*G1020</f>
        <v>0</v>
      </c>
      <c r="K1020" s="100">
        <v>0</v>
      </c>
      <c r="L1020" s="100">
        <f>F1020*K1020</f>
        <v>0</v>
      </c>
      <c r="M1020" s="101" t="s">
        <v>1667</v>
      </c>
      <c r="P1020" s="14">
        <f>IF(AG1020="5",J1020,0)</f>
        <v>0</v>
      </c>
      <c r="R1020" s="14">
        <f>IF(AG1020="1",H1020,0)</f>
        <v>0</v>
      </c>
      <c r="S1020" s="14">
        <f>IF(AG1020="1",I1020,0)</f>
        <v>0</v>
      </c>
      <c r="T1020" s="14">
        <f>IF(AG1020="7",H1020,0)</f>
        <v>0</v>
      </c>
      <c r="U1020" s="14">
        <f>IF(AG1020="7",I1020,0)</f>
        <v>0</v>
      </c>
      <c r="V1020" s="14">
        <f>IF(AG1020="2",H1020,0)</f>
        <v>0</v>
      </c>
      <c r="W1020" s="14">
        <f>IF(AG1020="2",I1020,0)</f>
        <v>0</v>
      </c>
      <c r="X1020" s="14">
        <f>IF(AG1020="0",J1020,0)</f>
        <v>0</v>
      </c>
      <c r="Y1020" s="8" t="s">
        <v>410</v>
      </c>
      <c r="Z1020" s="5">
        <f>IF(AD1020=0,J1020,0)</f>
        <v>0</v>
      </c>
      <c r="AA1020" s="5">
        <f>IF(AD1020=15,J1020,0)</f>
        <v>0</v>
      </c>
      <c r="AB1020" s="5">
        <f>IF(AD1020=21,J1020,0)</f>
        <v>0</v>
      </c>
      <c r="AD1020" s="14">
        <v>15</v>
      </c>
      <c r="AE1020" s="14">
        <f>G1020*0</f>
        <v>0</v>
      </c>
      <c r="AF1020" s="14">
        <f>G1020*(1-0)</f>
        <v>0</v>
      </c>
      <c r="AG1020" s="10" t="s">
        <v>7</v>
      </c>
      <c r="AM1020" s="14">
        <f>F1020*AE1020</f>
        <v>0</v>
      </c>
      <c r="AN1020" s="14">
        <f>F1020*AF1020</f>
        <v>0</v>
      </c>
      <c r="AO1020" s="15" t="s">
        <v>1683</v>
      </c>
      <c r="AP1020" s="15" t="s">
        <v>1758</v>
      </c>
      <c r="AQ1020" s="8" t="s">
        <v>1773</v>
      </c>
      <c r="AS1020" s="14">
        <f>AM1020+AN1020</f>
        <v>0</v>
      </c>
      <c r="AT1020" s="14">
        <f>G1020/(100-AU1020)*100</f>
        <v>0</v>
      </c>
      <c r="AU1020" s="14">
        <v>0</v>
      </c>
      <c r="AV1020" s="14">
        <f>L1020</f>
        <v>0</v>
      </c>
    </row>
    <row r="1021" spans="1:48" ht="12.75">
      <c r="A1021" s="99" t="s">
        <v>370</v>
      </c>
      <c r="B1021" s="99" t="s">
        <v>410</v>
      </c>
      <c r="C1021" s="99" t="s">
        <v>671</v>
      </c>
      <c r="D1021" s="99" t="s">
        <v>802</v>
      </c>
      <c r="E1021" s="99" t="s">
        <v>1639</v>
      </c>
      <c r="F1021" s="100">
        <v>5.55</v>
      </c>
      <c r="G1021" s="100">
        <v>0</v>
      </c>
      <c r="H1021" s="100">
        <f>F1021*AE1021</f>
        <v>0</v>
      </c>
      <c r="I1021" s="100">
        <f>J1021-H1021</f>
        <v>0</v>
      </c>
      <c r="J1021" s="100">
        <f>F1021*G1021</f>
        <v>0</v>
      </c>
      <c r="K1021" s="100">
        <v>0</v>
      </c>
      <c r="L1021" s="100">
        <f>F1021*K1021</f>
        <v>0</v>
      </c>
      <c r="M1021" s="101" t="s">
        <v>1669</v>
      </c>
      <c r="P1021" s="14">
        <f>IF(AG1021="5",J1021,0)</f>
        <v>0</v>
      </c>
      <c r="R1021" s="14">
        <f>IF(AG1021="1",H1021,0)</f>
        <v>0</v>
      </c>
      <c r="S1021" s="14">
        <f>IF(AG1021="1",I1021,0)</f>
        <v>0</v>
      </c>
      <c r="T1021" s="14">
        <f>IF(AG1021="7",H1021,0)</f>
        <v>0</v>
      </c>
      <c r="U1021" s="14">
        <f>IF(AG1021="7",I1021,0)</f>
        <v>0</v>
      </c>
      <c r="V1021" s="14">
        <f>IF(AG1021="2",H1021,0)</f>
        <v>0</v>
      </c>
      <c r="W1021" s="14">
        <f>IF(AG1021="2",I1021,0)</f>
        <v>0</v>
      </c>
      <c r="X1021" s="14">
        <f>IF(AG1021="0",J1021,0)</f>
        <v>0</v>
      </c>
      <c r="Y1021" s="8" t="s">
        <v>410</v>
      </c>
      <c r="Z1021" s="5">
        <f>IF(AD1021=0,J1021,0)</f>
        <v>0</v>
      </c>
      <c r="AA1021" s="5">
        <f>IF(AD1021=15,J1021,0)</f>
        <v>0</v>
      </c>
      <c r="AB1021" s="5">
        <f>IF(AD1021=21,J1021,0)</f>
        <v>0</v>
      </c>
      <c r="AD1021" s="14">
        <v>15</v>
      </c>
      <c r="AE1021" s="14">
        <f>G1021*0</f>
        <v>0</v>
      </c>
      <c r="AF1021" s="14">
        <f>G1021*(1-0)</f>
        <v>0</v>
      </c>
      <c r="AG1021" s="10" t="s">
        <v>7</v>
      </c>
      <c r="AM1021" s="14">
        <f>F1021*AE1021</f>
        <v>0</v>
      </c>
      <c r="AN1021" s="14">
        <f>F1021*AF1021</f>
        <v>0</v>
      </c>
      <c r="AO1021" s="15" t="s">
        <v>1683</v>
      </c>
      <c r="AP1021" s="15" t="s">
        <v>1758</v>
      </c>
      <c r="AQ1021" s="8" t="s">
        <v>1773</v>
      </c>
      <c r="AS1021" s="14">
        <f>AM1021+AN1021</f>
        <v>0</v>
      </c>
      <c r="AT1021" s="14">
        <f>G1021/(100-AU1021)*100</f>
        <v>0</v>
      </c>
      <c r="AU1021" s="14">
        <v>0</v>
      </c>
      <c r="AV1021" s="14">
        <f>L1021</f>
        <v>0</v>
      </c>
    </row>
    <row r="1022" spans="1:37" ht="12.75">
      <c r="A1022" s="93"/>
      <c r="B1022" s="94" t="s">
        <v>410</v>
      </c>
      <c r="C1022" s="94" t="s">
        <v>33</v>
      </c>
      <c r="D1022" s="95" t="s">
        <v>806</v>
      </c>
      <c r="E1022" s="96"/>
      <c r="F1022" s="96"/>
      <c r="G1022" s="96"/>
      <c r="H1022" s="97">
        <f>SUM(H1023:H1024)</f>
        <v>0</v>
      </c>
      <c r="I1022" s="97">
        <f>SUM(I1023:I1024)</f>
        <v>0</v>
      </c>
      <c r="J1022" s="97">
        <f>H1022+I1022</f>
        <v>0</v>
      </c>
      <c r="K1022" s="98"/>
      <c r="L1022" s="97">
        <f>SUM(L1023:L1024)</f>
        <v>14.3925</v>
      </c>
      <c r="M1022" s="98"/>
      <c r="Y1022" s="8" t="s">
        <v>410</v>
      </c>
      <c r="AI1022" s="16">
        <f>SUM(Z1023:Z1024)</f>
        <v>0</v>
      </c>
      <c r="AJ1022" s="16">
        <f>SUM(AA1023:AA1024)</f>
        <v>0</v>
      </c>
      <c r="AK1022" s="16">
        <f>SUM(AB1023:AB1024)</f>
        <v>0</v>
      </c>
    </row>
    <row r="1023" spans="1:48" ht="12.75">
      <c r="A1023" s="99" t="s">
        <v>371</v>
      </c>
      <c r="B1023" s="99" t="s">
        <v>410</v>
      </c>
      <c r="C1023" s="99" t="s">
        <v>426</v>
      </c>
      <c r="D1023" s="99" t="s">
        <v>807</v>
      </c>
      <c r="E1023" s="99" t="s">
        <v>1639</v>
      </c>
      <c r="F1023" s="100">
        <v>5.55</v>
      </c>
      <c r="G1023" s="100">
        <v>0</v>
      </c>
      <c r="H1023" s="100">
        <f>F1023*AE1023</f>
        <v>0</v>
      </c>
      <c r="I1023" s="100">
        <f>J1023-H1023</f>
        <v>0</v>
      </c>
      <c r="J1023" s="100">
        <f>F1023*G1023</f>
        <v>0</v>
      </c>
      <c r="K1023" s="100">
        <v>2.525</v>
      </c>
      <c r="L1023" s="100">
        <f>F1023*K1023</f>
        <v>14.01375</v>
      </c>
      <c r="M1023" s="101" t="s">
        <v>1667</v>
      </c>
      <c r="P1023" s="14">
        <f>IF(AG1023="5",J1023,0)</f>
        <v>0</v>
      </c>
      <c r="R1023" s="14">
        <f>IF(AG1023="1",H1023,0)</f>
        <v>0</v>
      </c>
      <c r="S1023" s="14">
        <f>IF(AG1023="1",I1023,0)</f>
        <v>0</v>
      </c>
      <c r="T1023" s="14">
        <f>IF(AG1023="7",H1023,0)</f>
        <v>0</v>
      </c>
      <c r="U1023" s="14">
        <f>IF(AG1023="7",I1023,0)</f>
        <v>0</v>
      </c>
      <c r="V1023" s="14">
        <f>IF(AG1023="2",H1023,0)</f>
        <v>0</v>
      </c>
      <c r="W1023" s="14">
        <f>IF(AG1023="2",I1023,0)</f>
        <v>0</v>
      </c>
      <c r="X1023" s="14">
        <f>IF(AG1023="0",J1023,0)</f>
        <v>0</v>
      </c>
      <c r="Y1023" s="8" t="s">
        <v>410</v>
      </c>
      <c r="Z1023" s="5">
        <f>IF(AD1023=0,J1023,0)</f>
        <v>0</v>
      </c>
      <c r="AA1023" s="5">
        <f>IF(AD1023=15,J1023,0)</f>
        <v>0</v>
      </c>
      <c r="AB1023" s="5">
        <f>IF(AD1023=21,J1023,0)</f>
        <v>0</v>
      </c>
      <c r="AD1023" s="14">
        <v>15</v>
      </c>
      <c r="AE1023" s="14">
        <f>G1023*0.90135139169037</f>
        <v>0</v>
      </c>
      <c r="AF1023" s="14">
        <f>G1023*(1-0.90135139169037)</f>
        <v>0</v>
      </c>
      <c r="AG1023" s="10" t="s">
        <v>7</v>
      </c>
      <c r="AM1023" s="14">
        <f>F1023*AE1023</f>
        <v>0</v>
      </c>
      <c r="AN1023" s="14">
        <f>F1023*AF1023</f>
        <v>0</v>
      </c>
      <c r="AO1023" s="15" t="s">
        <v>1685</v>
      </c>
      <c r="AP1023" s="15" t="s">
        <v>1759</v>
      </c>
      <c r="AQ1023" s="8" t="s">
        <v>1773</v>
      </c>
      <c r="AS1023" s="14">
        <f>AM1023+AN1023</f>
        <v>0</v>
      </c>
      <c r="AT1023" s="14">
        <f>G1023/(100-AU1023)*100</f>
        <v>0</v>
      </c>
      <c r="AU1023" s="14">
        <v>0</v>
      </c>
      <c r="AV1023" s="14">
        <f>L1023</f>
        <v>14.01375</v>
      </c>
    </row>
    <row r="1024" spans="1:48" ht="12.75">
      <c r="A1024" s="99" t="s">
        <v>372</v>
      </c>
      <c r="B1024" s="99" t="s">
        <v>410</v>
      </c>
      <c r="C1024" s="99" t="s">
        <v>736</v>
      </c>
      <c r="D1024" s="99" t="s">
        <v>1585</v>
      </c>
      <c r="E1024" s="99" t="s">
        <v>1639</v>
      </c>
      <c r="F1024" s="100">
        <v>0.15</v>
      </c>
      <c r="G1024" s="100">
        <v>0</v>
      </c>
      <c r="H1024" s="100">
        <f>F1024*AE1024</f>
        <v>0</v>
      </c>
      <c r="I1024" s="100">
        <f>J1024-H1024</f>
        <v>0</v>
      </c>
      <c r="J1024" s="100">
        <f>F1024*G1024</f>
        <v>0</v>
      </c>
      <c r="K1024" s="100">
        <v>2.525</v>
      </c>
      <c r="L1024" s="100">
        <f>F1024*K1024</f>
        <v>0.37875</v>
      </c>
      <c r="M1024" s="101" t="s">
        <v>1667</v>
      </c>
      <c r="P1024" s="14">
        <f>IF(AG1024="5",J1024,0)</f>
        <v>0</v>
      </c>
      <c r="R1024" s="14">
        <f>IF(AG1024="1",H1024,0)</f>
        <v>0</v>
      </c>
      <c r="S1024" s="14">
        <f>IF(AG1024="1",I1024,0)</f>
        <v>0</v>
      </c>
      <c r="T1024" s="14">
        <f>IF(AG1024="7",H1024,0)</f>
        <v>0</v>
      </c>
      <c r="U1024" s="14">
        <f>IF(AG1024="7",I1024,0)</f>
        <v>0</v>
      </c>
      <c r="V1024" s="14">
        <f>IF(AG1024="2",H1024,0)</f>
        <v>0</v>
      </c>
      <c r="W1024" s="14">
        <f>IF(AG1024="2",I1024,0)</f>
        <v>0</v>
      </c>
      <c r="X1024" s="14">
        <f>IF(AG1024="0",J1024,0)</f>
        <v>0</v>
      </c>
      <c r="Y1024" s="8" t="s">
        <v>410</v>
      </c>
      <c r="Z1024" s="5">
        <f>IF(AD1024=0,J1024,0)</f>
        <v>0</v>
      </c>
      <c r="AA1024" s="5">
        <f>IF(AD1024=15,J1024,0)</f>
        <v>0</v>
      </c>
      <c r="AB1024" s="5">
        <f>IF(AD1024=21,J1024,0)</f>
        <v>0</v>
      </c>
      <c r="AD1024" s="14">
        <v>15</v>
      </c>
      <c r="AE1024" s="14">
        <f>G1024*0.90135139169037</f>
        <v>0</v>
      </c>
      <c r="AF1024" s="14">
        <f>G1024*(1-0.90135139169037)</f>
        <v>0</v>
      </c>
      <c r="AG1024" s="10" t="s">
        <v>7</v>
      </c>
      <c r="AM1024" s="14">
        <f>F1024*AE1024</f>
        <v>0</v>
      </c>
      <c r="AN1024" s="14">
        <f>F1024*AF1024</f>
        <v>0</v>
      </c>
      <c r="AO1024" s="15" t="s">
        <v>1685</v>
      </c>
      <c r="AP1024" s="15" t="s">
        <v>1759</v>
      </c>
      <c r="AQ1024" s="8" t="s">
        <v>1773</v>
      </c>
      <c r="AS1024" s="14">
        <f>AM1024+AN1024</f>
        <v>0</v>
      </c>
      <c r="AT1024" s="14">
        <f>G1024/(100-AU1024)*100</f>
        <v>0</v>
      </c>
      <c r="AU1024" s="14">
        <v>0</v>
      </c>
      <c r="AV1024" s="14">
        <f>L1024</f>
        <v>0.37875</v>
      </c>
    </row>
    <row r="1025" spans="1:13" ht="12.75">
      <c r="A1025" s="102"/>
      <c r="B1025" s="102"/>
      <c r="C1025" s="102"/>
      <c r="D1025" s="103" t="s">
        <v>1586</v>
      </c>
      <c r="E1025" s="102"/>
      <c r="F1025" s="104">
        <v>0.15</v>
      </c>
      <c r="G1025" s="102"/>
      <c r="H1025" s="102"/>
      <c r="I1025" s="102"/>
      <c r="J1025" s="102"/>
      <c r="K1025" s="102"/>
      <c r="L1025" s="102"/>
      <c r="M1025" s="102"/>
    </row>
    <row r="1026" spans="1:37" ht="12.75">
      <c r="A1026" s="93"/>
      <c r="B1026" s="94" t="s">
        <v>410</v>
      </c>
      <c r="C1026" s="94" t="s">
        <v>37</v>
      </c>
      <c r="D1026" s="95" t="s">
        <v>840</v>
      </c>
      <c r="E1026" s="96"/>
      <c r="F1026" s="96"/>
      <c r="G1026" s="96"/>
      <c r="H1026" s="97">
        <f>SUM(H1027:H1035)</f>
        <v>0</v>
      </c>
      <c r="I1026" s="97">
        <f>SUM(I1027:I1035)</f>
        <v>0</v>
      </c>
      <c r="J1026" s="97">
        <f>H1026+I1026</f>
        <v>0</v>
      </c>
      <c r="K1026" s="98"/>
      <c r="L1026" s="97">
        <f>SUM(L1027:L1035)</f>
        <v>7.3014277</v>
      </c>
      <c r="M1026" s="98"/>
      <c r="Y1026" s="8" t="s">
        <v>410</v>
      </c>
      <c r="AI1026" s="16">
        <f>SUM(Z1027:Z1035)</f>
        <v>0</v>
      </c>
      <c r="AJ1026" s="16">
        <f>SUM(AA1027:AA1035)</f>
        <v>0</v>
      </c>
      <c r="AK1026" s="16">
        <f>SUM(AB1027:AB1035)</f>
        <v>0</v>
      </c>
    </row>
    <row r="1027" spans="1:48" ht="12.75">
      <c r="A1027" s="99" t="s">
        <v>373</v>
      </c>
      <c r="B1027" s="99" t="s">
        <v>410</v>
      </c>
      <c r="C1027" s="99" t="s">
        <v>737</v>
      </c>
      <c r="D1027" s="99" t="s">
        <v>1587</v>
      </c>
      <c r="E1027" s="99" t="s">
        <v>1646</v>
      </c>
      <c r="F1027" s="100">
        <v>25.5</v>
      </c>
      <c r="G1027" s="100">
        <v>0</v>
      </c>
      <c r="H1027" s="100">
        <f>F1027*AE1027</f>
        <v>0</v>
      </c>
      <c r="I1027" s="100">
        <f>J1027-H1027</f>
        <v>0</v>
      </c>
      <c r="J1027" s="100">
        <f>F1027*G1027</f>
        <v>0</v>
      </c>
      <c r="K1027" s="100">
        <v>0.08693</v>
      </c>
      <c r="L1027" s="100">
        <f>F1027*K1027</f>
        <v>2.2167149999999998</v>
      </c>
      <c r="M1027" s="101" t="s">
        <v>1667</v>
      </c>
      <c r="P1027" s="14">
        <f>IF(AG1027="5",J1027,0)</f>
        <v>0</v>
      </c>
      <c r="R1027" s="14">
        <f>IF(AG1027="1",H1027,0)</f>
        <v>0</v>
      </c>
      <c r="S1027" s="14">
        <f>IF(AG1027="1",I1027,0)</f>
        <v>0</v>
      </c>
      <c r="T1027" s="14">
        <f>IF(AG1027="7",H1027,0)</f>
        <v>0</v>
      </c>
      <c r="U1027" s="14">
        <f>IF(AG1027="7",I1027,0)</f>
        <v>0</v>
      </c>
      <c r="V1027" s="14">
        <f>IF(AG1027="2",H1027,0)</f>
        <v>0</v>
      </c>
      <c r="W1027" s="14">
        <f>IF(AG1027="2",I1027,0)</f>
        <v>0</v>
      </c>
      <c r="X1027" s="14">
        <f>IF(AG1027="0",J1027,0)</f>
        <v>0</v>
      </c>
      <c r="Y1027" s="8" t="s">
        <v>410</v>
      </c>
      <c r="Z1027" s="5">
        <f>IF(AD1027=0,J1027,0)</f>
        <v>0</v>
      </c>
      <c r="AA1027" s="5">
        <f>IF(AD1027=15,J1027,0)</f>
        <v>0</v>
      </c>
      <c r="AB1027" s="5">
        <f>IF(AD1027=21,J1027,0)</f>
        <v>0</v>
      </c>
      <c r="AD1027" s="14">
        <v>15</v>
      </c>
      <c r="AE1027" s="14">
        <f>G1027*0.458024007386888</f>
        <v>0</v>
      </c>
      <c r="AF1027" s="14">
        <f>G1027*(1-0.458024007386888)</f>
        <v>0</v>
      </c>
      <c r="AG1027" s="10" t="s">
        <v>7</v>
      </c>
      <c r="AM1027" s="14">
        <f>F1027*AE1027</f>
        <v>0</v>
      </c>
      <c r="AN1027" s="14">
        <f>F1027*AF1027</f>
        <v>0</v>
      </c>
      <c r="AO1027" s="15" t="s">
        <v>1686</v>
      </c>
      <c r="AP1027" s="15" t="s">
        <v>1760</v>
      </c>
      <c r="AQ1027" s="8" t="s">
        <v>1773</v>
      </c>
      <c r="AS1027" s="14">
        <f>AM1027+AN1027</f>
        <v>0</v>
      </c>
      <c r="AT1027" s="14">
        <f>G1027/(100-AU1027)*100</f>
        <v>0</v>
      </c>
      <c r="AU1027" s="14">
        <v>0</v>
      </c>
      <c r="AV1027" s="14">
        <f>L1027</f>
        <v>2.2167149999999998</v>
      </c>
    </row>
    <row r="1028" spans="1:13" ht="12.75">
      <c r="A1028" s="102"/>
      <c r="B1028" s="102"/>
      <c r="C1028" s="102"/>
      <c r="D1028" s="103" t="s">
        <v>797</v>
      </c>
      <c r="E1028" s="102"/>
      <c r="F1028" s="104">
        <v>25.5</v>
      </c>
      <c r="G1028" s="102"/>
      <c r="H1028" s="102"/>
      <c r="I1028" s="102"/>
      <c r="J1028" s="102"/>
      <c r="K1028" s="102"/>
      <c r="L1028" s="102"/>
      <c r="M1028" s="102"/>
    </row>
    <row r="1029" spans="1:48" ht="12.75">
      <c r="A1029" s="99" t="s">
        <v>374</v>
      </c>
      <c r="B1029" s="99" t="s">
        <v>410</v>
      </c>
      <c r="C1029" s="99" t="s">
        <v>738</v>
      </c>
      <c r="D1029" s="99" t="s">
        <v>1588</v>
      </c>
      <c r="E1029" s="99" t="s">
        <v>1640</v>
      </c>
      <c r="F1029" s="100">
        <v>16.85</v>
      </c>
      <c r="G1029" s="100">
        <v>0</v>
      </c>
      <c r="H1029" s="100">
        <f>F1029*AE1029</f>
        <v>0</v>
      </c>
      <c r="I1029" s="100">
        <f>J1029-H1029</f>
        <v>0</v>
      </c>
      <c r="J1029" s="100">
        <f>F1029*G1029</f>
        <v>0</v>
      </c>
      <c r="K1029" s="100">
        <v>0.03931</v>
      </c>
      <c r="L1029" s="100">
        <f>F1029*K1029</f>
        <v>0.6623735000000001</v>
      </c>
      <c r="M1029" s="101" t="s">
        <v>1667</v>
      </c>
      <c r="P1029" s="14">
        <f>IF(AG1029="5",J1029,0)</f>
        <v>0</v>
      </c>
      <c r="R1029" s="14">
        <f>IF(AG1029="1",H1029,0)</f>
        <v>0</v>
      </c>
      <c r="S1029" s="14">
        <f>IF(AG1029="1",I1029,0)</f>
        <v>0</v>
      </c>
      <c r="T1029" s="14">
        <f>IF(AG1029="7",H1029,0)</f>
        <v>0</v>
      </c>
      <c r="U1029" s="14">
        <f>IF(AG1029="7",I1029,0)</f>
        <v>0</v>
      </c>
      <c r="V1029" s="14">
        <f>IF(AG1029="2",H1029,0)</f>
        <v>0</v>
      </c>
      <c r="W1029" s="14">
        <f>IF(AG1029="2",I1029,0)</f>
        <v>0</v>
      </c>
      <c r="X1029" s="14">
        <f>IF(AG1029="0",J1029,0)</f>
        <v>0</v>
      </c>
      <c r="Y1029" s="8" t="s">
        <v>410</v>
      </c>
      <c r="Z1029" s="5">
        <f>IF(AD1029=0,J1029,0)</f>
        <v>0</v>
      </c>
      <c r="AA1029" s="5">
        <f>IF(AD1029=15,J1029,0)</f>
        <v>0</v>
      </c>
      <c r="AB1029" s="5">
        <f>IF(AD1029=21,J1029,0)</f>
        <v>0</v>
      </c>
      <c r="AD1029" s="14">
        <v>15</v>
      </c>
      <c r="AE1029" s="14">
        <f>G1029*0.369178532311062</f>
        <v>0</v>
      </c>
      <c r="AF1029" s="14">
        <f>G1029*(1-0.369178532311062)</f>
        <v>0</v>
      </c>
      <c r="AG1029" s="10" t="s">
        <v>7</v>
      </c>
      <c r="AM1029" s="14">
        <f>F1029*AE1029</f>
        <v>0</v>
      </c>
      <c r="AN1029" s="14">
        <f>F1029*AF1029</f>
        <v>0</v>
      </c>
      <c r="AO1029" s="15" t="s">
        <v>1686</v>
      </c>
      <c r="AP1029" s="15" t="s">
        <v>1760</v>
      </c>
      <c r="AQ1029" s="8" t="s">
        <v>1773</v>
      </c>
      <c r="AS1029" s="14">
        <f>AM1029+AN1029</f>
        <v>0</v>
      </c>
      <c r="AT1029" s="14">
        <f>G1029/(100-AU1029)*100</f>
        <v>0</v>
      </c>
      <c r="AU1029" s="14">
        <v>0</v>
      </c>
      <c r="AV1029" s="14">
        <f>L1029</f>
        <v>0.6623735000000001</v>
      </c>
    </row>
    <row r="1030" spans="1:13" ht="12.75">
      <c r="A1030" s="102"/>
      <c r="B1030" s="102"/>
      <c r="C1030" s="102"/>
      <c r="D1030" s="103" t="s">
        <v>1589</v>
      </c>
      <c r="E1030" s="102"/>
      <c r="F1030" s="104">
        <v>8.58</v>
      </c>
      <c r="G1030" s="102"/>
      <c r="H1030" s="102"/>
      <c r="I1030" s="102"/>
      <c r="J1030" s="102"/>
      <c r="K1030" s="102"/>
      <c r="L1030" s="102"/>
      <c r="M1030" s="102"/>
    </row>
    <row r="1031" spans="1:13" ht="12.75">
      <c r="A1031" s="102"/>
      <c r="B1031" s="102"/>
      <c r="C1031" s="102"/>
      <c r="D1031" s="103" t="s">
        <v>1590</v>
      </c>
      <c r="E1031" s="102"/>
      <c r="F1031" s="104">
        <v>8.27</v>
      </c>
      <c r="G1031" s="102"/>
      <c r="H1031" s="102"/>
      <c r="I1031" s="102"/>
      <c r="J1031" s="102"/>
      <c r="K1031" s="102"/>
      <c r="L1031" s="102"/>
      <c r="M1031" s="102"/>
    </row>
    <row r="1032" spans="1:48" ht="12.75">
      <c r="A1032" s="99" t="s">
        <v>375</v>
      </c>
      <c r="B1032" s="99" t="s">
        <v>410</v>
      </c>
      <c r="C1032" s="99" t="s">
        <v>739</v>
      </c>
      <c r="D1032" s="99" t="s">
        <v>1591</v>
      </c>
      <c r="E1032" s="99" t="s">
        <v>1640</v>
      </c>
      <c r="F1032" s="100">
        <v>16.85</v>
      </c>
      <c r="G1032" s="100">
        <v>0</v>
      </c>
      <c r="H1032" s="100">
        <f>F1032*AE1032</f>
        <v>0</v>
      </c>
      <c r="I1032" s="100">
        <f>J1032-H1032</f>
        <v>0</v>
      </c>
      <c r="J1032" s="100">
        <f>F1032*G1032</f>
        <v>0</v>
      </c>
      <c r="K1032" s="100">
        <v>0</v>
      </c>
      <c r="L1032" s="100">
        <f>F1032*K1032</f>
        <v>0</v>
      </c>
      <c r="M1032" s="101" t="s">
        <v>1667</v>
      </c>
      <c r="P1032" s="14">
        <f>IF(AG1032="5",J1032,0)</f>
        <v>0</v>
      </c>
      <c r="R1032" s="14">
        <f>IF(AG1032="1",H1032,0)</f>
        <v>0</v>
      </c>
      <c r="S1032" s="14">
        <f>IF(AG1032="1",I1032,0)</f>
        <v>0</v>
      </c>
      <c r="T1032" s="14">
        <f>IF(AG1032="7",H1032,0)</f>
        <v>0</v>
      </c>
      <c r="U1032" s="14">
        <f>IF(AG1032="7",I1032,0)</f>
        <v>0</v>
      </c>
      <c r="V1032" s="14">
        <f>IF(AG1032="2",H1032,0)</f>
        <v>0</v>
      </c>
      <c r="W1032" s="14">
        <f>IF(AG1032="2",I1032,0)</f>
        <v>0</v>
      </c>
      <c r="X1032" s="14">
        <f>IF(AG1032="0",J1032,0)</f>
        <v>0</v>
      </c>
      <c r="Y1032" s="8" t="s">
        <v>410</v>
      </c>
      <c r="Z1032" s="5">
        <f>IF(AD1032=0,J1032,0)</f>
        <v>0</v>
      </c>
      <c r="AA1032" s="5">
        <f>IF(AD1032=15,J1032,0)</f>
        <v>0</v>
      </c>
      <c r="AB1032" s="5">
        <f>IF(AD1032=21,J1032,0)</f>
        <v>0</v>
      </c>
      <c r="AD1032" s="14">
        <v>15</v>
      </c>
      <c r="AE1032" s="14">
        <f>G1032*0</f>
        <v>0</v>
      </c>
      <c r="AF1032" s="14">
        <f>G1032*(1-0)</f>
        <v>0</v>
      </c>
      <c r="AG1032" s="10" t="s">
        <v>7</v>
      </c>
      <c r="AM1032" s="14">
        <f>F1032*AE1032</f>
        <v>0</v>
      </c>
      <c r="AN1032" s="14">
        <f>F1032*AF1032</f>
        <v>0</v>
      </c>
      <c r="AO1032" s="15" t="s">
        <v>1686</v>
      </c>
      <c r="AP1032" s="15" t="s">
        <v>1760</v>
      </c>
      <c r="AQ1032" s="8" t="s">
        <v>1773</v>
      </c>
      <c r="AS1032" s="14">
        <f>AM1032+AN1032</f>
        <v>0</v>
      </c>
      <c r="AT1032" s="14">
        <f>G1032/(100-AU1032)*100</f>
        <v>0</v>
      </c>
      <c r="AU1032" s="14">
        <v>0</v>
      </c>
      <c r="AV1032" s="14">
        <f>L1032</f>
        <v>0</v>
      </c>
    </row>
    <row r="1033" spans="1:48" ht="12.75">
      <c r="A1033" s="99" t="s">
        <v>376</v>
      </c>
      <c r="B1033" s="99" t="s">
        <v>410</v>
      </c>
      <c r="C1033" s="99" t="s">
        <v>740</v>
      </c>
      <c r="D1033" s="99" t="s">
        <v>1592</v>
      </c>
      <c r="E1033" s="99" t="s">
        <v>1642</v>
      </c>
      <c r="F1033" s="100">
        <v>0.16</v>
      </c>
      <c r="G1033" s="100">
        <v>0</v>
      </c>
      <c r="H1033" s="100">
        <f>F1033*AE1033</f>
        <v>0</v>
      </c>
      <c r="I1033" s="100">
        <f>J1033-H1033</f>
        <v>0</v>
      </c>
      <c r="J1033" s="100">
        <f>F1033*G1033</f>
        <v>0</v>
      </c>
      <c r="K1033" s="100">
        <v>1.04627</v>
      </c>
      <c r="L1033" s="100">
        <f>F1033*K1033</f>
        <v>0.1674032</v>
      </c>
      <c r="M1033" s="101" t="s">
        <v>1667</v>
      </c>
      <c r="P1033" s="14">
        <f>IF(AG1033="5",J1033,0)</f>
        <v>0</v>
      </c>
      <c r="R1033" s="14">
        <f>IF(AG1033="1",H1033,0)</f>
        <v>0</v>
      </c>
      <c r="S1033" s="14">
        <f>IF(AG1033="1",I1033,0)</f>
        <v>0</v>
      </c>
      <c r="T1033" s="14">
        <f>IF(AG1033="7",H1033,0)</f>
        <v>0</v>
      </c>
      <c r="U1033" s="14">
        <f>IF(AG1033="7",I1033,0)</f>
        <v>0</v>
      </c>
      <c r="V1033" s="14">
        <f>IF(AG1033="2",H1033,0)</f>
        <v>0</v>
      </c>
      <c r="W1033" s="14">
        <f>IF(AG1033="2",I1033,0)</f>
        <v>0</v>
      </c>
      <c r="X1033" s="14">
        <f>IF(AG1033="0",J1033,0)</f>
        <v>0</v>
      </c>
      <c r="Y1033" s="8" t="s">
        <v>410</v>
      </c>
      <c r="Z1033" s="5">
        <f>IF(AD1033=0,J1033,0)</f>
        <v>0</v>
      </c>
      <c r="AA1033" s="5">
        <f>IF(AD1033=15,J1033,0)</f>
        <v>0</v>
      </c>
      <c r="AB1033" s="5">
        <f>IF(AD1033=21,J1033,0)</f>
        <v>0</v>
      </c>
      <c r="AD1033" s="14">
        <v>15</v>
      </c>
      <c r="AE1033" s="14">
        <f>G1033*0.810106628242075</f>
        <v>0</v>
      </c>
      <c r="AF1033" s="14">
        <f>G1033*(1-0.810106628242075)</f>
        <v>0</v>
      </c>
      <c r="AG1033" s="10" t="s">
        <v>7</v>
      </c>
      <c r="AM1033" s="14">
        <f>F1033*AE1033</f>
        <v>0</v>
      </c>
      <c r="AN1033" s="14">
        <f>F1033*AF1033</f>
        <v>0</v>
      </c>
      <c r="AO1033" s="15" t="s">
        <v>1686</v>
      </c>
      <c r="AP1033" s="15" t="s">
        <v>1760</v>
      </c>
      <c r="AQ1033" s="8" t="s">
        <v>1773</v>
      </c>
      <c r="AS1033" s="14">
        <f>AM1033+AN1033</f>
        <v>0</v>
      </c>
      <c r="AT1033" s="14">
        <f>G1033/(100-AU1033)*100</f>
        <v>0</v>
      </c>
      <c r="AU1033" s="14">
        <v>0</v>
      </c>
      <c r="AV1033" s="14">
        <f>L1033</f>
        <v>0.1674032</v>
      </c>
    </row>
    <row r="1034" spans="1:13" ht="12.75">
      <c r="A1034" s="102"/>
      <c r="B1034" s="102"/>
      <c r="C1034" s="102"/>
      <c r="D1034" s="103" t="s">
        <v>1593</v>
      </c>
      <c r="E1034" s="102"/>
      <c r="F1034" s="104">
        <v>0.16</v>
      </c>
      <c r="G1034" s="102"/>
      <c r="H1034" s="102"/>
      <c r="I1034" s="102"/>
      <c r="J1034" s="102"/>
      <c r="K1034" s="102"/>
      <c r="L1034" s="102"/>
      <c r="M1034" s="102"/>
    </row>
    <row r="1035" spans="1:48" ht="12.75">
      <c r="A1035" s="99" t="s">
        <v>377</v>
      </c>
      <c r="B1035" s="99" t="s">
        <v>410</v>
      </c>
      <c r="C1035" s="99" t="s">
        <v>741</v>
      </c>
      <c r="D1035" s="99" t="s">
        <v>1594</v>
      </c>
      <c r="E1035" s="99" t="s">
        <v>1639</v>
      </c>
      <c r="F1035" s="100">
        <v>1.68</v>
      </c>
      <c r="G1035" s="100">
        <v>0</v>
      </c>
      <c r="H1035" s="100">
        <f>F1035*AE1035</f>
        <v>0</v>
      </c>
      <c r="I1035" s="100">
        <f>J1035-H1035</f>
        <v>0</v>
      </c>
      <c r="J1035" s="100">
        <f>F1035*G1035</f>
        <v>0</v>
      </c>
      <c r="K1035" s="100">
        <v>2.5327</v>
      </c>
      <c r="L1035" s="100">
        <f>F1035*K1035</f>
        <v>4.254936</v>
      </c>
      <c r="M1035" s="101" t="s">
        <v>1667</v>
      </c>
      <c r="P1035" s="14">
        <f>IF(AG1035="5",J1035,0)</f>
        <v>0</v>
      </c>
      <c r="R1035" s="14">
        <f>IF(AG1035="1",H1035,0)</f>
        <v>0</v>
      </c>
      <c r="S1035" s="14">
        <f>IF(AG1035="1",I1035,0)</f>
        <v>0</v>
      </c>
      <c r="T1035" s="14">
        <f>IF(AG1035="7",H1035,0)</f>
        <v>0</v>
      </c>
      <c r="U1035" s="14">
        <f>IF(AG1035="7",I1035,0)</f>
        <v>0</v>
      </c>
      <c r="V1035" s="14">
        <f>IF(AG1035="2",H1035,0)</f>
        <v>0</v>
      </c>
      <c r="W1035" s="14">
        <f>IF(AG1035="2",I1035,0)</f>
        <v>0</v>
      </c>
      <c r="X1035" s="14">
        <f>IF(AG1035="0",J1035,0)</f>
        <v>0</v>
      </c>
      <c r="Y1035" s="8" t="s">
        <v>410</v>
      </c>
      <c r="Z1035" s="5">
        <f>IF(AD1035=0,J1035,0)</f>
        <v>0</v>
      </c>
      <c r="AA1035" s="5">
        <f>IF(AD1035=15,J1035,0)</f>
        <v>0</v>
      </c>
      <c r="AB1035" s="5">
        <f>IF(AD1035=21,J1035,0)</f>
        <v>0</v>
      </c>
      <c r="AD1035" s="14">
        <v>15</v>
      </c>
      <c r="AE1035" s="14">
        <f>G1035*0.842232715008432</f>
        <v>0</v>
      </c>
      <c r="AF1035" s="14">
        <f>G1035*(1-0.842232715008432)</f>
        <v>0</v>
      </c>
      <c r="AG1035" s="10" t="s">
        <v>7</v>
      </c>
      <c r="AM1035" s="14">
        <f>F1035*AE1035</f>
        <v>0</v>
      </c>
      <c r="AN1035" s="14">
        <f>F1035*AF1035</f>
        <v>0</v>
      </c>
      <c r="AO1035" s="15" t="s">
        <v>1686</v>
      </c>
      <c r="AP1035" s="15" t="s">
        <v>1760</v>
      </c>
      <c r="AQ1035" s="8" t="s">
        <v>1773</v>
      </c>
      <c r="AS1035" s="14">
        <f>AM1035+AN1035</f>
        <v>0</v>
      </c>
      <c r="AT1035" s="14">
        <f>G1035/(100-AU1035)*100</f>
        <v>0</v>
      </c>
      <c r="AU1035" s="14">
        <v>0</v>
      </c>
      <c r="AV1035" s="14">
        <f>L1035</f>
        <v>4.254936</v>
      </c>
    </row>
    <row r="1036" spans="1:13" ht="12.75">
      <c r="A1036" s="102"/>
      <c r="B1036" s="102"/>
      <c r="C1036" s="102"/>
      <c r="D1036" s="103" t="s">
        <v>1595</v>
      </c>
      <c r="E1036" s="102"/>
      <c r="F1036" s="104">
        <v>1.68</v>
      </c>
      <c r="G1036" s="102"/>
      <c r="H1036" s="102"/>
      <c r="I1036" s="102"/>
      <c r="J1036" s="102"/>
      <c r="K1036" s="102"/>
      <c r="L1036" s="102"/>
      <c r="M1036" s="102"/>
    </row>
    <row r="1037" spans="1:37" ht="12.75">
      <c r="A1037" s="93"/>
      <c r="B1037" s="94" t="s">
        <v>410</v>
      </c>
      <c r="C1037" s="94" t="s">
        <v>39</v>
      </c>
      <c r="D1037" s="95" t="s">
        <v>1596</v>
      </c>
      <c r="E1037" s="96"/>
      <c r="F1037" s="96"/>
      <c r="G1037" s="96"/>
      <c r="H1037" s="97">
        <f>SUM(H1038:H1047)</f>
        <v>0</v>
      </c>
      <c r="I1037" s="97">
        <f>SUM(I1038:I1047)</f>
        <v>0</v>
      </c>
      <c r="J1037" s="97">
        <f>H1037+I1037</f>
        <v>0</v>
      </c>
      <c r="K1037" s="98"/>
      <c r="L1037" s="97">
        <f>SUM(L1038:L1047)</f>
        <v>3.3989649</v>
      </c>
      <c r="M1037" s="98"/>
      <c r="Y1037" s="8" t="s">
        <v>410</v>
      </c>
      <c r="AI1037" s="16">
        <f>SUM(Z1038:Z1047)</f>
        <v>0</v>
      </c>
      <c r="AJ1037" s="16">
        <f>SUM(AA1038:AA1047)</f>
        <v>0</v>
      </c>
      <c r="AK1037" s="16">
        <f>SUM(AB1038:AB1047)</f>
        <v>0</v>
      </c>
    </row>
    <row r="1038" spans="1:48" ht="12.75">
      <c r="A1038" s="99" t="s">
        <v>378</v>
      </c>
      <c r="B1038" s="99" t="s">
        <v>410</v>
      </c>
      <c r="C1038" s="99" t="s">
        <v>742</v>
      </c>
      <c r="D1038" s="99" t="s">
        <v>1597</v>
      </c>
      <c r="E1038" s="99" t="s">
        <v>1641</v>
      </c>
      <c r="F1038" s="100">
        <v>11</v>
      </c>
      <c r="G1038" s="100">
        <v>0</v>
      </c>
      <c r="H1038" s="100">
        <f>F1038*AE1038</f>
        <v>0</v>
      </c>
      <c r="I1038" s="100">
        <f>J1038-H1038</f>
        <v>0</v>
      </c>
      <c r="J1038" s="100">
        <f>F1038*G1038</f>
        <v>0</v>
      </c>
      <c r="K1038" s="100">
        <v>0.125</v>
      </c>
      <c r="L1038" s="100">
        <f>F1038*K1038</f>
        <v>1.375</v>
      </c>
      <c r="M1038" s="101" t="s">
        <v>1667</v>
      </c>
      <c r="P1038" s="14">
        <f>IF(AG1038="5",J1038,0)</f>
        <v>0</v>
      </c>
      <c r="R1038" s="14">
        <f>IF(AG1038="1",H1038,0)</f>
        <v>0</v>
      </c>
      <c r="S1038" s="14">
        <f>IF(AG1038="1",I1038,0)</f>
        <v>0</v>
      </c>
      <c r="T1038" s="14">
        <f>IF(AG1038="7",H1038,0)</f>
        <v>0</v>
      </c>
      <c r="U1038" s="14">
        <f>IF(AG1038="7",I1038,0)</f>
        <v>0</v>
      </c>
      <c r="V1038" s="14">
        <f>IF(AG1038="2",H1038,0)</f>
        <v>0</v>
      </c>
      <c r="W1038" s="14">
        <f>IF(AG1038="2",I1038,0)</f>
        <v>0</v>
      </c>
      <c r="X1038" s="14">
        <f>IF(AG1038="0",J1038,0)</f>
        <v>0</v>
      </c>
      <c r="Y1038" s="8" t="s">
        <v>410</v>
      </c>
      <c r="Z1038" s="5">
        <f>IF(AD1038=0,J1038,0)</f>
        <v>0</v>
      </c>
      <c r="AA1038" s="5">
        <f>IF(AD1038=15,J1038,0)</f>
        <v>0</v>
      </c>
      <c r="AB1038" s="5">
        <f>IF(AD1038=21,J1038,0)</f>
        <v>0</v>
      </c>
      <c r="AD1038" s="14">
        <v>15</v>
      </c>
      <c r="AE1038" s="14">
        <f>G1038*0.413466424682396</f>
        <v>0</v>
      </c>
      <c r="AF1038" s="14">
        <f>G1038*(1-0.413466424682396)</f>
        <v>0</v>
      </c>
      <c r="AG1038" s="10" t="s">
        <v>7</v>
      </c>
      <c r="AM1038" s="14">
        <f>F1038*AE1038</f>
        <v>0</v>
      </c>
      <c r="AN1038" s="14">
        <f>F1038*AF1038</f>
        <v>0</v>
      </c>
      <c r="AO1038" s="15" t="s">
        <v>1724</v>
      </c>
      <c r="AP1038" s="15" t="s">
        <v>1760</v>
      </c>
      <c r="AQ1038" s="8" t="s">
        <v>1773</v>
      </c>
      <c r="AS1038" s="14">
        <f>AM1038+AN1038</f>
        <v>0</v>
      </c>
      <c r="AT1038" s="14">
        <f>G1038/(100-AU1038)*100</f>
        <v>0</v>
      </c>
      <c r="AU1038" s="14">
        <v>0</v>
      </c>
      <c r="AV1038" s="14">
        <f>L1038</f>
        <v>1.375</v>
      </c>
    </row>
    <row r="1039" spans="1:48" ht="12.75">
      <c r="A1039" s="99" t="s">
        <v>379</v>
      </c>
      <c r="B1039" s="99" t="s">
        <v>410</v>
      </c>
      <c r="C1039" s="99" t="s">
        <v>743</v>
      </c>
      <c r="D1039" s="99" t="s">
        <v>1598</v>
      </c>
      <c r="E1039" s="99" t="s">
        <v>1639</v>
      </c>
      <c r="F1039" s="100">
        <v>0.63</v>
      </c>
      <c r="G1039" s="100">
        <v>0</v>
      </c>
      <c r="H1039" s="100">
        <f>F1039*AE1039</f>
        <v>0</v>
      </c>
      <c r="I1039" s="100">
        <f>J1039-H1039</f>
        <v>0</v>
      </c>
      <c r="J1039" s="100">
        <f>F1039*G1039</f>
        <v>0</v>
      </c>
      <c r="K1039" s="100">
        <v>2.71999</v>
      </c>
      <c r="L1039" s="100">
        <f>F1039*K1039</f>
        <v>1.7135937</v>
      </c>
      <c r="M1039" s="101" t="s">
        <v>1667</v>
      </c>
      <c r="P1039" s="14">
        <f>IF(AG1039="5",J1039,0)</f>
        <v>0</v>
      </c>
      <c r="R1039" s="14">
        <f>IF(AG1039="1",H1039,0)</f>
        <v>0</v>
      </c>
      <c r="S1039" s="14">
        <f>IF(AG1039="1",I1039,0)</f>
        <v>0</v>
      </c>
      <c r="T1039" s="14">
        <f>IF(AG1039="7",H1039,0)</f>
        <v>0</v>
      </c>
      <c r="U1039" s="14">
        <f>IF(AG1039="7",I1039,0)</f>
        <v>0</v>
      </c>
      <c r="V1039" s="14">
        <f>IF(AG1039="2",H1039,0)</f>
        <v>0</v>
      </c>
      <c r="W1039" s="14">
        <f>IF(AG1039="2",I1039,0)</f>
        <v>0</v>
      </c>
      <c r="X1039" s="14">
        <f>IF(AG1039="0",J1039,0)</f>
        <v>0</v>
      </c>
      <c r="Y1039" s="8" t="s">
        <v>410</v>
      </c>
      <c r="Z1039" s="5">
        <f>IF(AD1039=0,J1039,0)</f>
        <v>0</v>
      </c>
      <c r="AA1039" s="5">
        <f>IF(AD1039=15,J1039,0)</f>
        <v>0</v>
      </c>
      <c r="AB1039" s="5">
        <f>IF(AD1039=21,J1039,0)</f>
        <v>0</v>
      </c>
      <c r="AD1039" s="14">
        <v>15</v>
      </c>
      <c r="AE1039" s="14">
        <f>G1039*0.861420074349442</f>
        <v>0</v>
      </c>
      <c r="AF1039" s="14">
        <f>G1039*(1-0.861420074349442)</f>
        <v>0</v>
      </c>
      <c r="AG1039" s="10" t="s">
        <v>7</v>
      </c>
      <c r="AM1039" s="14">
        <f>F1039*AE1039</f>
        <v>0</v>
      </c>
      <c r="AN1039" s="14">
        <f>F1039*AF1039</f>
        <v>0</v>
      </c>
      <c r="AO1039" s="15" t="s">
        <v>1724</v>
      </c>
      <c r="AP1039" s="15" t="s">
        <v>1760</v>
      </c>
      <c r="AQ1039" s="8" t="s">
        <v>1773</v>
      </c>
      <c r="AS1039" s="14">
        <f>AM1039+AN1039</f>
        <v>0</v>
      </c>
      <c r="AT1039" s="14">
        <f>G1039/(100-AU1039)*100</f>
        <v>0</v>
      </c>
      <c r="AU1039" s="14">
        <v>0</v>
      </c>
      <c r="AV1039" s="14">
        <f>L1039</f>
        <v>1.7135937</v>
      </c>
    </row>
    <row r="1040" spans="1:13" ht="12.75">
      <c r="A1040" s="102"/>
      <c r="B1040" s="102"/>
      <c r="C1040" s="102"/>
      <c r="D1040" s="103" t="s">
        <v>1599</v>
      </c>
      <c r="E1040" s="102"/>
      <c r="F1040" s="104">
        <v>0.11</v>
      </c>
      <c r="G1040" s="102"/>
      <c r="H1040" s="102"/>
      <c r="I1040" s="102"/>
      <c r="J1040" s="102"/>
      <c r="K1040" s="102"/>
      <c r="L1040" s="102"/>
      <c r="M1040" s="102"/>
    </row>
    <row r="1041" spans="1:13" ht="12.75">
      <c r="A1041" s="102"/>
      <c r="B1041" s="102"/>
      <c r="C1041" s="102"/>
      <c r="D1041" s="103" t="s">
        <v>1600</v>
      </c>
      <c r="E1041" s="102"/>
      <c r="F1041" s="104">
        <v>0.26</v>
      </c>
      <c r="G1041" s="102"/>
      <c r="H1041" s="102"/>
      <c r="I1041" s="102"/>
      <c r="J1041" s="102"/>
      <c r="K1041" s="102"/>
      <c r="L1041" s="102"/>
      <c r="M1041" s="102"/>
    </row>
    <row r="1042" spans="1:13" ht="12.75">
      <c r="A1042" s="102"/>
      <c r="B1042" s="102"/>
      <c r="C1042" s="102"/>
      <c r="D1042" s="103" t="s">
        <v>1600</v>
      </c>
      <c r="E1042" s="102"/>
      <c r="F1042" s="104">
        <v>0.26</v>
      </c>
      <c r="G1042" s="102"/>
      <c r="H1042" s="102"/>
      <c r="I1042" s="102"/>
      <c r="J1042" s="102"/>
      <c r="K1042" s="102"/>
      <c r="L1042" s="102"/>
      <c r="M1042" s="102"/>
    </row>
    <row r="1043" spans="1:48" ht="12.75">
      <c r="A1043" s="99" t="s">
        <v>380</v>
      </c>
      <c r="B1043" s="99" t="s">
        <v>410</v>
      </c>
      <c r="C1043" s="99" t="s">
        <v>744</v>
      </c>
      <c r="D1043" s="99" t="s">
        <v>1601</v>
      </c>
      <c r="E1043" s="99" t="s">
        <v>1640</v>
      </c>
      <c r="F1043" s="100">
        <v>4.94</v>
      </c>
      <c r="G1043" s="100">
        <v>0</v>
      </c>
      <c r="H1043" s="100">
        <f>F1043*AE1043</f>
        <v>0</v>
      </c>
      <c r="I1043" s="100">
        <f>J1043-H1043</f>
        <v>0</v>
      </c>
      <c r="J1043" s="100">
        <f>F1043*G1043</f>
        <v>0</v>
      </c>
      <c r="K1043" s="100">
        <v>0.04498</v>
      </c>
      <c r="L1043" s="100">
        <f>F1043*K1043</f>
        <v>0.22220120000000002</v>
      </c>
      <c r="M1043" s="101" t="s">
        <v>1667</v>
      </c>
      <c r="P1043" s="14">
        <f>IF(AG1043="5",J1043,0)</f>
        <v>0</v>
      </c>
      <c r="R1043" s="14">
        <f>IF(AG1043="1",H1043,0)</f>
        <v>0</v>
      </c>
      <c r="S1043" s="14">
        <f>IF(AG1043="1",I1043,0)</f>
        <v>0</v>
      </c>
      <c r="T1043" s="14">
        <f>IF(AG1043="7",H1043,0)</f>
        <v>0</v>
      </c>
      <c r="U1043" s="14">
        <f>IF(AG1043="7",I1043,0)</f>
        <v>0</v>
      </c>
      <c r="V1043" s="14">
        <f>IF(AG1043="2",H1043,0)</f>
        <v>0</v>
      </c>
      <c r="W1043" s="14">
        <f>IF(AG1043="2",I1043,0)</f>
        <v>0</v>
      </c>
      <c r="X1043" s="14">
        <f>IF(AG1043="0",J1043,0)</f>
        <v>0</v>
      </c>
      <c r="Y1043" s="8" t="s">
        <v>410</v>
      </c>
      <c r="Z1043" s="5">
        <f>IF(AD1043=0,J1043,0)</f>
        <v>0</v>
      </c>
      <c r="AA1043" s="5">
        <f>IF(AD1043=15,J1043,0)</f>
        <v>0</v>
      </c>
      <c r="AB1043" s="5">
        <f>IF(AD1043=21,J1043,0)</f>
        <v>0</v>
      </c>
      <c r="AD1043" s="14">
        <v>15</v>
      </c>
      <c r="AE1043" s="14">
        <f>G1043*0.677911802853437</f>
        <v>0</v>
      </c>
      <c r="AF1043" s="14">
        <f>G1043*(1-0.677911802853437)</f>
        <v>0</v>
      </c>
      <c r="AG1043" s="10" t="s">
        <v>7</v>
      </c>
      <c r="AM1043" s="14">
        <f>F1043*AE1043</f>
        <v>0</v>
      </c>
      <c r="AN1043" s="14">
        <f>F1043*AF1043</f>
        <v>0</v>
      </c>
      <c r="AO1043" s="15" t="s">
        <v>1724</v>
      </c>
      <c r="AP1043" s="15" t="s">
        <v>1760</v>
      </c>
      <c r="AQ1043" s="8" t="s">
        <v>1773</v>
      </c>
      <c r="AS1043" s="14">
        <f>AM1043+AN1043</f>
        <v>0</v>
      </c>
      <c r="AT1043" s="14">
        <f>G1043/(100-AU1043)*100</f>
        <v>0</v>
      </c>
      <c r="AU1043" s="14">
        <v>0</v>
      </c>
      <c r="AV1043" s="14">
        <f>L1043</f>
        <v>0.22220120000000002</v>
      </c>
    </row>
    <row r="1044" spans="1:13" ht="12.75">
      <c r="A1044" s="102"/>
      <c r="B1044" s="102"/>
      <c r="C1044" s="102"/>
      <c r="D1044" s="103" t="s">
        <v>1602</v>
      </c>
      <c r="E1044" s="102"/>
      <c r="F1044" s="104">
        <v>1.64</v>
      </c>
      <c r="G1044" s="102"/>
      <c r="H1044" s="102"/>
      <c r="I1044" s="102"/>
      <c r="J1044" s="102"/>
      <c r="K1044" s="102"/>
      <c r="L1044" s="102"/>
      <c r="M1044" s="102"/>
    </row>
    <row r="1045" spans="1:13" ht="12.75">
      <c r="A1045" s="102"/>
      <c r="B1045" s="102"/>
      <c r="C1045" s="102"/>
      <c r="D1045" s="103" t="s">
        <v>1603</v>
      </c>
      <c r="E1045" s="102"/>
      <c r="F1045" s="104">
        <v>3.3</v>
      </c>
      <c r="G1045" s="102"/>
      <c r="H1045" s="102"/>
      <c r="I1045" s="102"/>
      <c r="J1045" s="102"/>
      <c r="K1045" s="102"/>
      <c r="L1045" s="102"/>
      <c r="M1045" s="102"/>
    </row>
    <row r="1046" spans="1:48" ht="12.75">
      <c r="A1046" s="99" t="s">
        <v>381</v>
      </c>
      <c r="B1046" s="99" t="s">
        <v>410</v>
      </c>
      <c r="C1046" s="99" t="s">
        <v>745</v>
      </c>
      <c r="D1046" s="99" t="s">
        <v>1604</v>
      </c>
      <c r="E1046" s="99" t="s">
        <v>1640</v>
      </c>
      <c r="F1046" s="100">
        <v>4.94</v>
      </c>
      <c r="G1046" s="100">
        <v>0</v>
      </c>
      <c r="H1046" s="100">
        <f>F1046*AE1046</f>
        <v>0</v>
      </c>
      <c r="I1046" s="100">
        <f>J1046-H1046</f>
        <v>0</v>
      </c>
      <c r="J1046" s="100">
        <f>F1046*G1046</f>
        <v>0</v>
      </c>
      <c r="K1046" s="100">
        <v>0</v>
      </c>
      <c r="L1046" s="100">
        <f>F1046*K1046</f>
        <v>0</v>
      </c>
      <c r="M1046" s="101" t="s">
        <v>1667</v>
      </c>
      <c r="P1046" s="14">
        <f>IF(AG1046="5",J1046,0)</f>
        <v>0</v>
      </c>
      <c r="R1046" s="14">
        <f>IF(AG1046="1",H1046,0)</f>
        <v>0</v>
      </c>
      <c r="S1046" s="14">
        <f>IF(AG1046="1",I1046,0)</f>
        <v>0</v>
      </c>
      <c r="T1046" s="14">
        <f>IF(AG1046="7",H1046,0)</f>
        <v>0</v>
      </c>
      <c r="U1046" s="14">
        <f>IF(AG1046="7",I1046,0)</f>
        <v>0</v>
      </c>
      <c r="V1046" s="14">
        <f>IF(AG1046="2",H1046,0)</f>
        <v>0</v>
      </c>
      <c r="W1046" s="14">
        <f>IF(AG1046="2",I1046,0)</f>
        <v>0</v>
      </c>
      <c r="X1046" s="14">
        <f>IF(AG1046="0",J1046,0)</f>
        <v>0</v>
      </c>
      <c r="Y1046" s="8" t="s">
        <v>410</v>
      </c>
      <c r="Z1046" s="5">
        <f>IF(AD1046=0,J1046,0)</f>
        <v>0</v>
      </c>
      <c r="AA1046" s="5">
        <f>IF(AD1046=15,J1046,0)</f>
        <v>0</v>
      </c>
      <c r="AB1046" s="5">
        <f>IF(AD1046=21,J1046,0)</f>
        <v>0</v>
      </c>
      <c r="AD1046" s="14">
        <v>15</v>
      </c>
      <c r="AE1046" s="14">
        <f>G1046*0</f>
        <v>0</v>
      </c>
      <c r="AF1046" s="14">
        <f>G1046*(1-0)</f>
        <v>0</v>
      </c>
      <c r="AG1046" s="10" t="s">
        <v>7</v>
      </c>
      <c r="AM1046" s="14">
        <f>F1046*AE1046</f>
        <v>0</v>
      </c>
      <c r="AN1046" s="14">
        <f>F1046*AF1046</f>
        <v>0</v>
      </c>
      <c r="AO1046" s="15" t="s">
        <v>1724</v>
      </c>
      <c r="AP1046" s="15" t="s">
        <v>1760</v>
      </c>
      <c r="AQ1046" s="8" t="s">
        <v>1773</v>
      </c>
      <c r="AS1046" s="14">
        <f>AM1046+AN1046</f>
        <v>0</v>
      </c>
      <c r="AT1046" s="14">
        <f>G1046/(100-AU1046)*100</f>
        <v>0</v>
      </c>
      <c r="AU1046" s="14">
        <v>0</v>
      </c>
      <c r="AV1046" s="14">
        <f>L1046</f>
        <v>0</v>
      </c>
    </row>
    <row r="1047" spans="1:48" ht="12.75">
      <c r="A1047" s="99" t="s">
        <v>382</v>
      </c>
      <c r="B1047" s="99" t="s">
        <v>410</v>
      </c>
      <c r="C1047" s="99" t="s">
        <v>746</v>
      </c>
      <c r="D1047" s="99" t="s">
        <v>1605</v>
      </c>
      <c r="E1047" s="99" t="s">
        <v>1641</v>
      </c>
      <c r="F1047" s="100">
        <v>3</v>
      </c>
      <c r="G1047" s="100">
        <v>0</v>
      </c>
      <c r="H1047" s="100">
        <f>F1047*AE1047</f>
        <v>0</v>
      </c>
      <c r="I1047" s="100">
        <f>J1047-H1047</f>
        <v>0</v>
      </c>
      <c r="J1047" s="100">
        <f>F1047*G1047</f>
        <v>0</v>
      </c>
      <c r="K1047" s="100">
        <v>0.02939</v>
      </c>
      <c r="L1047" s="100">
        <f>F1047*K1047</f>
        <v>0.08817</v>
      </c>
      <c r="M1047" s="101" t="s">
        <v>1667</v>
      </c>
      <c r="P1047" s="14">
        <f>IF(AG1047="5",J1047,0)</f>
        <v>0</v>
      </c>
      <c r="R1047" s="14">
        <f>IF(AG1047="1",H1047,0)</f>
        <v>0</v>
      </c>
      <c r="S1047" s="14">
        <f>IF(AG1047="1",I1047,0)</f>
        <v>0</v>
      </c>
      <c r="T1047" s="14">
        <f>IF(AG1047="7",H1047,0)</f>
        <v>0</v>
      </c>
      <c r="U1047" s="14">
        <f>IF(AG1047="7",I1047,0)</f>
        <v>0</v>
      </c>
      <c r="V1047" s="14">
        <f>IF(AG1047="2",H1047,0)</f>
        <v>0</v>
      </c>
      <c r="W1047" s="14">
        <f>IF(AG1047="2",I1047,0)</f>
        <v>0</v>
      </c>
      <c r="X1047" s="14">
        <f>IF(AG1047="0",J1047,0)</f>
        <v>0</v>
      </c>
      <c r="Y1047" s="8" t="s">
        <v>410</v>
      </c>
      <c r="Z1047" s="5">
        <f>IF(AD1047=0,J1047,0)</f>
        <v>0</v>
      </c>
      <c r="AA1047" s="5">
        <f>IF(AD1047=15,J1047,0)</f>
        <v>0</v>
      </c>
      <c r="AB1047" s="5">
        <f>IF(AD1047=21,J1047,0)</f>
        <v>0</v>
      </c>
      <c r="AD1047" s="14">
        <v>15</v>
      </c>
      <c r="AE1047" s="14">
        <f>G1047*0.202148541114058</f>
        <v>0</v>
      </c>
      <c r="AF1047" s="14">
        <f>G1047*(1-0.202148541114058)</f>
        <v>0</v>
      </c>
      <c r="AG1047" s="10" t="s">
        <v>7</v>
      </c>
      <c r="AM1047" s="14">
        <f>F1047*AE1047</f>
        <v>0</v>
      </c>
      <c r="AN1047" s="14">
        <f>F1047*AF1047</f>
        <v>0</v>
      </c>
      <c r="AO1047" s="15" t="s">
        <v>1724</v>
      </c>
      <c r="AP1047" s="15" t="s">
        <v>1760</v>
      </c>
      <c r="AQ1047" s="8" t="s">
        <v>1773</v>
      </c>
      <c r="AS1047" s="14">
        <f>AM1047+AN1047</f>
        <v>0</v>
      </c>
      <c r="AT1047" s="14">
        <f>G1047/(100-AU1047)*100</f>
        <v>0</v>
      </c>
      <c r="AU1047" s="14">
        <v>0</v>
      </c>
      <c r="AV1047" s="14">
        <f>L1047</f>
        <v>0.08817</v>
      </c>
    </row>
    <row r="1048" spans="1:13" ht="12.75">
      <c r="A1048" s="102"/>
      <c r="B1048" s="102"/>
      <c r="C1048" s="102"/>
      <c r="D1048" s="103" t="s">
        <v>1606</v>
      </c>
      <c r="E1048" s="102"/>
      <c r="F1048" s="104">
        <v>3</v>
      </c>
      <c r="G1048" s="102"/>
      <c r="H1048" s="102"/>
      <c r="I1048" s="102"/>
      <c r="J1048" s="102"/>
      <c r="K1048" s="102"/>
      <c r="L1048" s="102"/>
      <c r="M1048" s="102"/>
    </row>
    <row r="1049" spans="1:37" ht="12.75">
      <c r="A1049" s="93"/>
      <c r="B1049" s="94" t="s">
        <v>410</v>
      </c>
      <c r="C1049" s="94" t="s">
        <v>615</v>
      </c>
      <c r="D1049" s="95" t="s">
        <v>1244</v>
      </c>
      <c r="E1049" s="96"/>
      <c r="F1049" s="96"/>
      <c r="G1049" s="96"/>
      <c r="H1049" s="97">
        <f>SUM(H1050:H1059)</f>
        <v>0</v>
      </c>
      <c r="I1049" s="97">
        <f>SUM(I1050:I1059)</f>
        <v>0</v>
      </c>
      <c r="J1049" s="97">
        <f>H1049+I1049</f>
        <v>0</v>
      </c>
      <c r="K1049" s="98"/>
      <c r="L1049" s="97">
        <f>SUM(L1050:L1059)</f>
        <v>0</v>
      </c>
      <c r="M1049" s="98"/>
      <c r="Y1049" s="8" t="s">
        <v>410</v>
      </c>
      <c r="AI1049" s="16">
        <f>SUM(Z1050:Z1059)</f>
        <v>0</v>
      </c>
      <c r="AJ1049" s="16">
        <f>SUM(AA1050:AA1059)</f>
        <v>0</v>
      </c>
      <c r="AK1049" s="16">
        <f>SUM(AB1050:AB1059)</f>
        <v>0</v>
      </c>
    </row>
    <row r="1050" spans="1:48" ht="12.75">
      <c r="A1050" s="99" t="s">
        <v>383</v>
      </c>
      <c r="B1050" s="99" t="s">
        <v>410</v>
      </c>
      <c r="C1050" s="99" t="s">
        <v>747</v>
      </c>
      <c r="D1050" s="99" t="s">
        <v>1607</v>
      </c>
      <c r="E1050" s="99" t="s">
        <v>1643</v>
      </c>
      <c r="F1050" s="100">
        <v>25.5</v>
      </c>
      <c r="G1050" s="100">
        <v>0</v>
      </c>
      <c r="H1050" s="100">
        <f aca="true" t="shared" si="64" ref="H1050:H1059">F1050*AE1050</f>
        <v>0</v>
      </c>
      <c r="I1050" s="100">
        <f aca="true" t="shared" si="65" ref="I1050:I1059">J1050-H1050</f>
        <v>0</v>
      </c>
      <c r="J1050" s="100">
        <f aca="true" t="shared" si="66" ref="J1050:J1059">F1050*G1050</f>
        <v>0</v>
      </c>
      <c r="K1050" s="100">
        <v>0</v>
      </c>
      <c r="L1050" s="100">
        <f aca="true" t="shared" si="67" ref="L1050:L1059">F1050*K1050</f>
        <v>0</v>
      </c>
      <c r="M1050" s="101" t="s">
        <v>1667</v>
      </c>
      <c r="P1050" s="14">
        <f aca="true" t="shared" si="68" ref="P1050:P1059">IF(AG1050="5",J1050,0)</f>
        <v>0</v>
      </c>
      <c r="R1050" s="14">
        <f aca="true" t="shared" si="69" ref="R1050:R1059">IF(AG1050="1",H1050,0)</f>
        <v>0</v>
      </c>
      <c r="S1050" s="14">
        <f aca="true" t="shared" si="70" ref="S1050:S1059">IF(AG1050="1",I1050,0)</f>
        <v>0</v>
      </c>
      <c r="T1050" s="14">
        <f aca="true" t="shared" si="71" ref="T1050:T1059">IF(AG1050="7",H1050,0)</f>
        <v>0</v>
      </c>
      <c r="U1050" s="14">
        <f aca="true" t="shared" si="72" ref="U1050:U1059">IF(AG1050="7",I1050,0)</f>
        <v>0</v>
      </c>
      <c r="V1050" s="14">
        <f aca="true" t="shared" si="73" ref="V1050:V1059">IF(AG1050="2",H1050,0)</f>
        <v>0</v>
      </c>
      <c r="W1050" s="14">
        <f aca="true" t="shared" si="74" ref="W1050:W1059">IF(AG1050="2",I1050,0)</f>
        <v>0</v>
      </c>
      <c r="X1050" s="14">
        <f aca="true" t="shared" si="75" ref="X1050:X1059">IF(AG1050="0",J1050,0)</f>
        <v>0</v>
      </c>
      <c r="Y1050" s="8" t="s">
        <v>410</v>
      </c>
      <c r="Z1050" s="5">
        <f aca="true" t="shared" si="76" ref="Z1050:Z1059">IF(AD1050=0,J1050,0)</f>
        <v>0</v>
      </c>
      <c r="AA1050" s="5">
        <f aca="true" t="shared" si="77" ref="AA1050:AA1059">IF(AD1050=15,J1050,0)</f>
        <v>0</v>
      </c>
      <c r="AB1050" s="5">
        <f aca="true" t="shared" si="78" ref="AB1050:AB1059">IF(AD1050=21,J1050,0)</f>
        <v>0</v>
      </c>
      <c r="AD1050" s="14">
        <v>15</v>
      </c>
      <c r="AE1050" s="14">
        <f aca="true" t="shared" si="79" ref="AE1050:AE1059">G1050*0</f>
        <v>0</v>
      </c>
      <c r="AF1050" s="14">
        <f aca="true" t="shared" si="80" ref="AF1050:AF1059">G1050*(1-0)</f>
        <v>0</v>
      </c>
      <c r="AG1050" s="10" t="s">
        <v>13</v>
      </c>
      <c r="AM1050" s="14">
        <f aca="true" t="shared" si="81" ref="AM1050:AM1059">F1050*AE1050</f>
        <v>0</v>
      </c>
      <c r="AN1050" s="14">
        <f aca="true" t="shared" si="82" ref="AN1050:AN1059">F1050*AF1050</f>
        <v>0</v>
      </c>
      <c r="AO1050" s="15" t="s">
        <v>1705</v>
      </c>
      <c r="AP1050" s="15" t="s">
        <v>1761</v>
      </c>
      <c r="AQ1050" s="8" t="s">
        <v>1773</v>
      </c>
      <c r="AS1050" s="14">
        <f aca="true" t="shared" si="83" ref="AS1050:AS1059">AM1050+AN1050</f>
        <v>0</v>
      </c>
      <c r="AT1050" s="14">
        <f aca="true" t="shared" si="84" ref="AT1050:AT1059">G1050/(100-AU1050)*100</f>
        <v>0</v>
      </c>
      <c r="AU1050" s="14">
        <v>0</v>
      </c>
      <c r="AV1050" s="14">
        <f aca="true" t="shared" si="85" ref="AV1050:AV1059">L1050</f>
        <v>0</v>
      </c>
    </row>
    <row r="1051" spans="1:48" ht="12.75">
      <c r="A1051" s="99" t="s">
        <v>384</v>
      </c>
      <c r="B1051" s="99" t="s">
        <v>410</v>
      </c>
      <c r="C1051" s="99" t="s">
        <v>748</v>
      </c>
      <c r="D1051" s="99" t="s">
        <v>1608</v>
      </c>
      <c r="E1051" s="99" t="s">
        <v>1644</v>
      </c>
      <c r="F1051" s="100">
        <v>10</v>
      </c>
      <c r="G1051" s="100">
        <v>0</v>
      </c>
      <c r="H1051" s="100">
        <f t="shared" si="64"/>
        <v>0</v>
      </c>
      <c r="I1051" s="100">
        <f t="shared" si="65"/>
        <v>0</v>
      </c>
      <c r="J1051" s="100">
        <f t="shared" si="66"/>
        <v>0</v>
      </c>
      <c r="K1051" s="100">
        <v>0</v>
      </c>
      <c r="L1051" s="100">
        <f t="shared" si="67"/>
        <v>0</v>
      </c>
      <c r="M1051" s="101" t="s">
        <v>1671</v>
      </c>
      <c r="P1051" s="14">
        <f t="shared" si="68"/>
        <v>0</v>
      </c>
      <c r="R1051" s="14">
        <f t="shared" si="69"/>
        <v>0</v>
      </c>
      <c r="S1051" s="14">
        <f t="shared" si="70"/>
        <v>0</v>
      </c>
      <c r="T1051" s="14">
        <f t="shared" si="71"/>
        <v>0</v>
      </c>
      <c r="U1051" s="14">
        <f t="shared" si="72"/>
        <v>0</v>
      </c>
      <c r="V1051" s="14">
        <f t="shared" si="73"/>
        <v>0</v>
      </c>
      <c r="W1051" s="14">
        <f t="shared" si="74"/>
        <v>0</v>
      </c>
      <c r="X1051" s="14">
        <f t="shared" si="75"/>
        <v>0</v>
      </c>
      <c r="Y1051" s="8" t="s">
        <v>410</v>
      </c>
      <c r="Z1051" s="5">
        <f t="shared" si="76"/>
        <v>0</v>
      </c>
      <c r="AA1051" s="5">
        <f t="shared" si="77"/>
        <v>0</v>
      </c>
      <c r="AB1051" s="5">
        <f t="shared" si="78"/>
        <v>0</v>
      </c>
      <c r="AD1051" s="14">
        <v>15</v>
      </c>
      <c r="AE1051" s="14">
        <f t="shared" si="79"/>
        <v>0</v>
      </c>
      <c r="AF1051" s="14">
        <f t="shared" si="80"/>
        <v>0</v>
      </c>
      <c r="AG1051" s="10" t="s">
        <v>13</v>
      </c>
      <c r="AM1051" s="14">
        <f t="shared" si="81"/>
        <v>0</v>
      </c>
      <c r="AN1051" s="14">
        <f t="shared" si="82"/>
        <v>0</v>
      </c>
      <c r="AO1051" s="15" t="s">
        <v>1705</v>
      </c>
      <c r="AP1051" s="15" t="s">
        <v>1761</v>
      </c>
      <c r="AQ1051" s="8" t="s">
        <v>1773</v>
      </c>
      <c r="AS1051" s="14">
        <f t="shared" si="83"/>
        <v>0</v>
      </c>
      <c r="AT1051" s="14">
        <f t="shared" si="84"/>
        <v>0</v>
      </c>
      <c r="AU1051" s="14">
        <v>0</v>
      </c>
      <c r="AV1051" s="14">
        <f t="shared" si="85"/>
        <v>0</v>
      </c>
    </row>
    <row r="1052" spans="1:48" ht="12.75">
      <c r="A1052" s="99" t="s">
        <v>385</v>
      </c>
      <c r="B1052" s="99" t="s">
        <v>410</v>
      </c>
      <c r="C1052" s="99" t="s">
        <v>749</v>
      </c>
      <c r="D1052" s="99" t="s">
        <v>1609</v>
      </c>
      <c r="E1052" s="99" t="s">
        <v>1644</v>
      </c>
      <c r="F1052" s="100">
        <v>11</v>
      </c>
      <c r="G1052" s="100">
        <v>0</v>
      </c>
      <c r="H1052" s="100">
        <f t="shared" si="64"/>
        <v>0</v>
      </c>
      <c r="I1052" s="100">
        <f t="shared" si="65"/>
        <v>0</v>
      </c>
      <c r="J1052" s="100">
        <f t="shared" si="66"/>
        <v>0</v>
      </c>
      <c r="K1052" s="100">
        <v>0</v>
      </c>
      <c r="L1052" s="100">
        <f t="shared" si="67"/>
        <v>0</v>
      </c>
      <c r="M1052" s="101" t="s">
        <v>1671</v>
      </c>
      <c r="P1052" s="14">
        <f t="shared" si="68"/>
        <v>0</v>
      </c>
      <c r="R1052" s="14">
        <f t="shared" si="69"/>
        <v>0</v>
      </c>
      <c r="S1052" s="14">
        <f t="shared" si="70"/>
        <v>0</v>
      </c>
      <c r="T1052" s="14">
        <f t="shared" si="71"/>
        <v>0</v>
      </c>
      <c r="U1052" s="14">
        <f t="shared" si="72"/>
        <v>0</v>
      </c>
      <c r="V1052" s="14">
        <f t="shared" si="73"/>
        <v>0</v>
      </c>
      <c r="W1052" s="14">
        <f t="shared" si="74"/>
        <v>0</v>
      </c>
      <c r="X1052" s="14">
        <f t="shared" si="75"/>
        <v>0</v>
      </c>
      <c r="Y1052" s="8" t="s">
        <v>410</v>
      </c>
      <c r="Z1052" s="5">
        <f t="shared" si="76"/>
        <v>0</v>
      </c>
      <c r="AA1052" s="5">
        <f t="shared" si="77"/>
        <v>0</v>
      </c>
      <c r="AB1052" s="5">
        <f t="shared" si="78"/>
        <v>0</v>
      </c>
      <c r="AD1052" s="14">
        <v>15</v>
      </c>
      <c r="AE1052" s="14">
        <f t="shared" si="79"/>
        <v>0</v>
      </c>
      <c r="AF1052" s="14">
        <f t="shared" si="80"/>
        <v>0</v>
      </c>
      <c r="AG1052" s="10" t="s">
        <v>13</v>
      </c>
      <c r="AM1052" s="14">
        <f t="shared" si="81"/>
        <v>0</v>
      </c>
      <c r="AN1052" s="14">
        <f t="shared" si="82"/>
        <v>0</v>
      </c>
      <c r="AO1052" s="15" t="s">
        <v>1705</v>
      </c>
      <c r="AP1052" s="15" t="s">
        <v>1761</v>
      </c>
      <c r="AQ1052" s="8" t="s">
        <v>1773</v>
      </c>
      <c r="AS1052" s="14">
        <f t="shared" si="83"/>
        <v>0</v>
      </c>
      <c r="AT1052" s="14">
        <f t="shared" si="84"/>
        <v>0</v>
      </c>
      <c r="AU1052" s="14">
        <v>0</v>
      </c>
      <c r="AV1052" s="14">
        <f t="shared" si="85"/>
        <v>0</v>
      </c>
    </row>
    <row r="1053" spans="1:48" ht="12.75">
      <c r="A1053" s="99" t="s">
        <v>386</v>
      </c>
      <c r="B1053" s="99" t="s">
        <v>410</v>
      </c>
      <c r="C1053" s="99" t="s">
        <v>750</v>
      </c>
      <c r="D1053" s="99" t="s">
        <v>1610</v>
      </c>
      <c r="E1053" s="99" t="s">
        <v>1644</v>
      </c>
      <c r="F1053" s="100">
        <v>22</v>
      </c>
      <c r="G1053" s="100">
        <v>0</v>
      </c>
      <c r="H1053" s="100">
        <f t="shared" si="64"/>
        <v>0</v>
      </c>
      <c r="I1053" s="100">
        <f t="shared" si="65"/>
        <v>0</v>
      </c>
      <c r="J1053" s="100">
        <f t="shared" si="66"/>
        <v>0</v>
      </c>
      <c r="K1053" s="100">
        <v>0</v>
      </c>
      <c r="L1053" s="100">
        <f t="shared" si="67"/>
        <v>0</v>
      </c>
      <c r="M1053" s="101" t="s">
        <v>1667</v>
      </c>
      <c r="P1053" s="14">
        <f t="shared" si="68"/>
        <v>0</v>
      </c>
      <c r="R1053" s="14">
        <f t="shared" si="69"/>
        <v>0</v>
      </c>
      <c r="S1053" s="14">
        <f t="shared" si="70"/>
        <v>0</v>
      </c>
      <c r="T1053" s="14">
        <f t="shared" si="71"/>
        <v>0</v>
      </c>
      <c r="U1053" s="14">
        <f t="shared" si="72"/>
        <v>0</v>
      </c>
      <c r="V1053" s="14">
        <f t="shared" si="73"/>
        <v>0</v>
      </c>
      <c r="W1053" s="14">
        <f t="shared" si="74"/>
        <v>0</v>
      </c>
      <c r="X1053" s="14">
        <f t="shared" si="75"/>
        <v>0</v>
      </c>
      <c r="Y1053" s="8" t="s">
        <v>410</v>
      </c>
      <c r="Z1053" s="5">
        <f t="shared" si="76"/>
        <v>0</v>
      </c>
      <c r="AA1053" s="5">
        <f t="shared" si="77"/>
        <v>0</v>
      </c>
      <c r="AB1053" s="5">
        <f t="shared" si="78"/>
        <v>0</v>
      </c>
      <c r="AD1053" s="14">
        <v>15</v>
      </c>
      <c r="AE1053" s="14">
        <f t="shared" si="79"/>
        <v>0</v>
      </c>
      <c r="AF1053" s="14">
        <f t="shared" si="80"/>
        <v>0</v>
      </c>
      <c r="AG1053" s="10" t="s">
        <v>13</v>
      </c>
      <c r="AM1053" s="14">
        <f t="shared" si="81"/>
        <v>0</v>
      </c>
      <c r="AN1053" s="14">
        <f t="shared" si="82"/>
        <v>0</v>
      </c>
      <c r="AO1053" s="15" t="s">
        <v>1705</v>
      </c>
      <c r="AP1053" s="15" t="s">
        <v>1761</v>
      </c>
      <c r="AQ1053" s="8" t="s">
        <v>1773</v>
      </c>
      <c r="AS1053" s="14">
        <f t="shared" si="83"/>
        <v>0</v>
      </c>
      <c r="AT1053" s="14">
        <f t="shared" si="84"/>
        <v>0</v>
      </c>
      <c r="AU1053" s="14">
        <v>0</v>
      </c>
      <c r="AV1053" s="14">
        <f t="shared" si="85"/>
        <v>0</v>
      </c>
    </row>
    <row r="1054" spans="1:48" ht="12.75">
      <c r="A1054" s="99" t="s">
        <v>387</v>
      </c>
      <c r="B1054" s="99" t="s">
        <v>410</v>
      </c>
      <c r="C1054" s="99" t="s">
        <v>751</v>
      </c>
      <c r="D1054" s="99" t="s">
        <v>1611</v>
      </c>
      <c r="E1054" s="99" t="s">
        <v>1644</v>
      </c>
      <c r="F1054" s="100">
        <v>21</v>
      </c>
      <c r="G1054" s="100">
        <v>0</v>
      </c>
      <c r="H1054" s="100">
        <f t="shared" si="64"/>
        <v>0</v>
      </c>
      <c r="I1054" s="100">
        <f t="shared" si="65"/>
        <v>0</v>
      </c>
      <c r="J1054" s="100">
        <f t="shared" si="66"/>
        <v>0</v>
      </c>
      <c r="K1054" s="100">
        <v>0</v>
      </c>
      <c r="L1054" s="100">
        <f t="shared" si="67"/>
        <v>0</v>
      </c>
      <c r="M1054" s="101" t="s">
        <v>1667</v>
      </c>
      <c r="P1054" s="14">
        <f t="shared" si="68"/>
        <v>0</v>
      </c>
      <c r="R1054" s="14">
        <f t="shared" si="69"/>
        <v>0</v>
      </c>
      <c r="S1054" s="14">
        <f t="shared" si="70"/>
        <v>0</v>
      </c>
      <c r="T1054" s="14">
        <f t="shared" si="71"/>
        <v>0</v>
      </c>
      <c r="U1054" s="14">
        <f t="shared" si="72"/>
        <v>0</v>
      </c>
      <c r="V1054" s="14">
        <f t="shared" si="73"/>
        <v>0</v>
      </c>
      <c r="W1054" s="14">
        <f t="shared" si="74"/>
        <v>0</v>
      </c>
      <c r="X1054" s="14">
        <f t="shared" si="75"/>
        <v>0</v>
      </c>
      <c r="Y1054" s="8" t="s">
        <v>410</v>
      </c>
      <c r="Z1054" s="5">
        <f t="shared" si="76"/>
        <v>0</v>
      </c>
      <c r="AA1054" s="5">
        <f t="shared" si="77"/>
        <v>0</v>
      </c>
      <c r="AB1054" s="5">
        <f t="shared" si="78"/>
        <v>0</v>
      </c>
      <c r="AD1054" s="14">
        <v>15</v>
      </c>
      <c r="AE1054" s="14">
        <f t="shared" si="79"/>
        <v>0</v>
      </c>
      <c r="AF1054" s="14">
        <f t="shared" si="80"/>
        <v>0</v>
      </c>
      <c r="AG1054" s="10" t="s">
        <v>13</v>
      </c>
      <c r="AM1054" s="14">
        <f t="shared" si="81"/>
        <v>0</v>
      </c>
      <c r="AN1054" s="14">
        <f t="shared" si="82"/>
        <v>0</v>
      </c>
      <c r="AO1054" s="15" t="s">
        <v>1705</v>
      </c>
      <c r="AP1054" s="15" t="s">
        <v>1761</v>
      </c>
      <c r="AQ1054" s="8" t="s">
        <v>1773</v>
      </c>
      <c r="AS1054" s="14">
        <f t="shared" si="83"/>
        <v>0</v>
      </c>
      <c r="AT1054" s="14">
        <f t="shared" si="84"/>
        <v>0</v>
      </c>
      <c r="AU1054" s="14">
        <v>0</v>
      </c>
      <c r="AV1054" s="14">
        <f t="shared" si="85"/>
        <v>0</v>
      </c>
    </row>
    <row r="1055" spans="1:48" ht="12.75">
      <c r="A1055" s="99" t="s">
        <v>388</v>
      </c>
      <c r="B1055" s="99" t="s">
        <v>410</v>
      </c>
      <c r="C1055" s="99" t="s">
        <v>752</v>
      </c>
      <c r="D1055" s="99" t="s">
        <v>1612</v>
      </c>
      <c r="E1055" s="99" t="s">
        <v>1643</v>
      </c>
      <c r="F1055" s="100">
        <v>1</v>
      </c>
      <c r="G1055" s="100">
        <v>0</v>
      </c>
      <c r="H1055" s="100">
        <f t="shared" si="64"/>
        <v>0</v>
      </c>
      <c r="I1055" s="100">
        <f t="shared" si="65"/>
        <v>0</v>
      </c>
      <c r="J1055" s="100">
        <f t="shared" si="66"/>
        <v>0</v>
      </c>
      <c r="K1055" s="100">
        <v>0</v>
      </c>
      <c r="L1055" s="100">
        <f t="shared" si="67"/>
        <v>0</v>
      </c>
      <c r="M1055" s="101" t="s">
        <v>1667</v>
      </c>
      <c r="P1055" s="14">
        <f t="shared" si="68"/>
        <v>0</v>
      </c>
      <c r="R1055" s="14">
        <f t="shared" si="69"/>
        <v>0</v>
      </c>
      <c r="S1055" s="14">
        <f t="shared" si="70"/>
        <v>0</v>
      </c>
      <c r="T1055" s="14">
        <f t="shared" si="71"/>
        <v>0</v>
      </c>
      <c r="U1055" s="14">
        <f t="shared" si="72"/>
        <v>0</v>
      </c>
      <c r="V1055" s="14">
        <f t="shared" si="73"/>
        <v>0</v>
      </c>
      <c r="W1055" s="14">
        <f t="shared" si="74"/>
        <v>0</v>
      </c>
      <c r="X1055" s="14">
        <f t="shared" si="75"/>
        <v>0</v>
      </c>
      <c r="Y1055" s="8" t="s">
        <v>410</v>
      </c>
      <c r="Z1055" s="5">
        <f t="shared" si="76"/>
        <v>0</v>
      </c>
      <c r="AA1055" s="5">
        <f t="shared" si="77"/>
        <v>0</v>
      </c>
      <c r="AB1055" s="5">
        <f t="shared" si="78"/>
        <v>0</v>
      </c>
      <c r="AD1055" s="14">
        <v>15</v>
      </c>
      <c r="AE1055" s="14">
        <f t="shared" si="79"/>
        <v>0</v>
      </c>
      <c r="AF1055" s="14">
        <f t="shared" si="80"/>
        <v>0</v>
      </c>
      <c r="AG1055" s="10" t="s">
        <v>13</v>
      </c>
      <c r="AM1055" s="14">
        <f t="shared" si="81"/>
        <v>0</v>
      </c>
      <c r="AN1055" s="14">
        <f t="shared" si="82"/>
        <v>0</v>
      </c>
      <c r="AO1055" s="15" t="s">
        <v>1705</v>
      </c>
      <c r="AP1055" s="15" t="s">
        <v>1761</v>
      </c>
      <c r="AQ1055" s="8" t="s">
        <v>1773</v>
      </c>
      <c r="AS1055" s="14">
        <f t="shared" si="83"/>
        <v>0</v>
      </c>
      <c r="AT1055" s="14">
        <f t="shared" si="84"/>
        <v>0</v>
      </c>
      <c r="AU1055" s="14">
        <v>0</v>
      </c>
      <c r="AV1055" s="14">
        <f t="shared" si="85"/>
        <v>0</v>
      </c>
    </row>
    <row r="1056" spans="1:48" ht="12.75">
      <c r="A1056" s="99" t="s">
        <v>389</v>
      </c>
      <c r="B1056" s="99" t="s">
        <v>410</v>
      </c>
      <c r="C1056" s="99" t="s">
        <v>753</v>
      </c>
      <c r="D1056" s="99" t="s">
        <v>1613</v>
      </c>
      <c r="E1056" s="99" t="s">
        <v>1644</v>
      </c>
      <c r="F1056" s="100">
        <v>1</v>
      </c>
      <c r="G1056" s="100">
        <v>0</v>
      </c>
      <c r="H1056" s="100">
        <f t="shared" si="64"/>
        <v>0</v>
      </c>
      <c r="I1056" s="100">
        <f t="shared" si="65"/>
        <v>0</v>
      </c>
      <c r="J1056" s="100">
        <f t="shared" si="66"/>
        <v>0</v>
      </c>
      <c r="K1056" s="100">
        <v>0</v>
      </c>
      <c r="L1056" s="100">
        <f t="shared" si="67"/>
        <v>0</v>
      </c>
      <c r="M1056" s="101" t="s">
        <v>1667</v>
      </c>
      <c r="P1056" s="14">
        <f t="shared" si="68"/>
        <v>0</v>
      </c>
      <c r="R1056" s="14">
        <f t="shared" si="69"/>
        <v>0</v>
      </c>
      <c r="S1056" s="14">
        <f t="shared" si="70"/>
        <v>0</v>
      </c>
      <c r="T1056" s="14">
        <f t="shared" si="71"/>
        <v>0</v>
      </c>
      <c r="U1056" s="14">
        <f t="shared" si="72"/>
        <v>0</v>
      </c>
      <c r="V1056" s="14">
        <f t="shared" si="73"/>
        <v>0</v>
      </c>
      <c r="W1056" s="14">
        <f t="shared" si="74"/>
        <v>0</v>
      </c>
      <c r="X1056" s="14">
        <f t="shared" si="75"/>
        <v>0</v>
      </c>
      <c r="Y1056" s="8" t="s">
        <v>410</v>
      </c>
      <c r="Z1056" s="5">
        <f t="shared" si="76"/>
        <v>0</v>
      </c>
      <c r="AA1056" s="5">
        <f t="shared" si="77"/>
        <v>0</v>
      </c>
      <c r="AB1056" s="5">
        <f t="shared" si="78"/>
        <v>0</v>
      </c>
      <c r="AD1056" s="14">
        <v>15</v>
      </c>
      <c r="AE1056" s="14">
        <f t="shared" si="79"/>
        <v>0</v>
      </c>
      <c r="AF1056" s="14">
        <f t="shared" si="80"/>
        <v>0</v>
      </c>
      <c r="AG1056" s="10" t="s">
        <v>13</v>
      </c>
      <c r="AM1056" s="14">
        <f t="shared" si="81"/>
        <v>0</v>
      </c>
      <c r="AN1056" s="14">
        <f t="shared" si="82"/>
        <v>0</v>
      </c>
      <c r="AO1056" s="15" t="s">
        <v>1705</v>
      </c>
      <c r="AP1056" s="15" t="s">
        <v>1761</v>
      </c>
      <c r="AQ1056" s="8" t="s">
        <v>1773</v>
      </c>
      <c r="AS1056" s="14">
        <f t="shared" si="83"/>
        <v>0</v>
      </c>
      <c r="AT1056" s="14">
        <f t="shared" si="84"/>
        <v>0</v>
      </c>
      <c r="AU1056" s="14">
        <v>0</v>
      </c>
      <c r="AV1056" s="14">
        <f t="shared" si="85"/>
        <v>0</v>
      </c>
    </row>
    <row r="1057" spans="1:48" ht="12.75">
      <c r="A1057" s="99" t="s">
        <v>390</v>
      </c>
      <c r="B1057" s="99" t="s">
        <v>410</v>
      </c>
      <c r="C1057" s="99" t="s">
        <v>754</v>
      </c>
      <c r="D1057" s="99" t="s">
        <v>1614</v>
      </c>
      <c r="E1057" s="99" t="s">
        <v>1645</v>
      </c>
      <c r="F1057" s="100">
        <v>1</v>
      </c>
      <c r="G1057" s="100">
        <v>0</v>
      </c>
      <c r="H1057" s="100">
        <f t="shared" si="64"/>
        <v>0</v>
      </c>
      <c r="I1057" s="100">
        <f t="shared" si="65"/>
        <v>0</v>
      </c>
      <c r="J1057" s="100">
        <f t="shared" si="66"/>
        <v>0</v>
      </c>
      <c r="K1057" s="100">
        <v>0</v>
      </c>
      <c r="L1057" s="100">
        <f t="shared" si="67"/>
        <v>0</v>
      </c>
      <c r="M1057" s="101" t="s">
        <v>1669</v>
      </c>
      <c r="P1057" s="14">
        <f t="shared" si="68"/>
        <v>0</v>
      </c>
      <c r="R1057" s="14">
        <f t="shared" si="69"/>
        <v>0</v>
      </c>
      <c r="S1057" s="14">
        <f t="shared" si="70"/>
        <v>0</v>
      </c>
      <c r="T1057" s="14">
        <f t="shared" si="71"/>
        <v>0</v>
      </c>
      <c r="U1057" s="14">
        <f t="shared" si="72"/>
        <v>0</v>
      </c>
      <c r="V1057" s="14">
        <f t="shared" si="73"/>
        <v>0</v>
      </c>
      <c r="W1057" s="14">
        <f t="shared" si="74"/>
        <v>0</v>
      </c>
      <c r="X1057" s="14">
        <f t="shared" si="75"/>
        <v>0</v>
      </c>
      <c r="Y1057" s="8" t="s">
        <v>410</v>
      </c>
      <c r="Z1057" s="5">
        <f t="shared" si="76"/>
        <v>0</v>
      </c>
      <c r="AA1057" s="5">
        <f t="shared" si="77"/>
        <v>0</v>
      </c>
      <c r="AB1057" s="5">
        <f t="shared" si="78"/>
        <v>0</v>
      </c>
      <c r="AD1057" s="14">
        <v>15</v>
      </c>
      <c r="AE1057" s="14">
        <f t="shared" si="79"/>
        <v>0</v>
      </c>
      <c r="AF1057" s="14">
        <f t="shared" si="80"/>
        <v>0</v>
      </c>
      <c r="AG1057" s="10" t="s">
        <v>13</v>
      </c>
      <c r="AM1057" s="14">
        <f t="shared" si="81"/>
        <v>0</v>
      </c>
      <c r="AN1057" s="14">
        <f t="shared" si="82"/>
        <v>0</v>
      </c>
      <c r="AO1057" s="15" t="s">
        <v>1705</v>
      </c>
      <c r="AP1057" s="15" t="s">
        <v>1761</v>
      </c>
      <c r="AQ1057" s="8" t="s">
        <v>1773</v>
      </c>
      <c r="AS1057" s="14">
        <f t="shared" si="83"/>
        <v>0</v>
      </c>
      <c r="AT1057" s="14">
        <f t="shared" si="84"/>
        <v>0</v>
      </c>
      <c r="AU1057" s="14">
        <v>0</v>
      </c>
      <c r="AV1057" s="14">
        <f t="shared" si="85"/>
        <v>0</v>
      </c>
    </row>
    <row r="1058" spans="1:48" ht="12.75">
      <c r="A1058" s="99" t="s">
        <v>391</v>
      </c>
      <c r="B1058" s="99" t="s">
        <v>410</v>
      </c>
      <c r="C1058" s="99" t="s">
        <v>755</v>
      </c>
      <c r="D1058" s="99" t="s">
        <v>1615</v>
      </c>
      <c r="E1058" s="99" t="s">
        <v>1644</v>
      </c>
      <c r="F1058" s="100">
        <v>1</v>
      </c>
      <c r="G1058" s="100">
        <v>0</v>
      </c>
      <c r="H1058" s="100">
        <f t="shared" si="64"/>
        <v>0</v>
      </c>
      <c r="I1058" s="100">
        <f t="shared" si="65"/>
        <v>0</v>
      </c>
      <c r="J1058" s="100">
        <f t="shared" si="66"/>
        <v>0</v>
      </c>
      <c r="K1058" s="100">
        <v>0</v>
      </c>
      <c r="L1058" s="100">
        <f t="shared" si="67"/>
        <v>0</v>
      </c>
      <c r="M1058" s="101" t="s">
        <v>1669</v>
      </c>
      <c r="P1058" s="14">
        <f t="shared" si="68"/>
        <v>0</v>
      </c>
      <c r="R1058" s="14">
        <f t="shared" si="69"/>
        <v>0</v>
      </c>
      <c r="S1058" s="14">
        <f t="shared" si="70"/>
        <v>0</v>
      </c>
      <c r="T1058" s="14">
        <f t="shared" si="71"/>
        <v>0</v>
      </c>
      <c r="U1058" s="14">
        <f t="shared" si="72"/>
        <v>0</v>
      </c>
      <c r="V1058" s="14">
        <f t="shared" si="73"/>
        <v>0</v>
      </c>
      <c r="W1058" s="14">
        <f t="shared" si="74"/>
        <v>0</v>
      </c>
      <c r="X1058" s="14">
        <f t="shared" si="75"/>
        <v>0</v>
      </c>
      <c r="Y1058" s="8" t="s">
        <v>410</v>
      </c>
      <c r="Z1058" s="5">
        <f t="shared" si="76"/>
        <v>0</v>
      </c>
      <c r="AA1058" s="5">
        <f t="shared" si="77"/>
        <v>0</v>
      </c>
      <c r="AB1058" s="5">
        <f t="shared" si="78"/>
        <v>0</v>
      </c>
      <c r="AD1058" s="14">
        <v>15</v>
      </c>
      <c r="AE1058" s="14">
        <f t="shared" si="79"/>
        <v>0</v>
      </c>
      <c r="AF1058" s="14">
        <f t="shared" si="80"/>
        <v>0</v>
      </c>
      <c r="AG1058" s="10" t="s">
        <v>13</v>
      </c>
      <c r="AM1058" s="14">
        <f t="shared" si="81"/>
        <v>0</v>
      </c>
      <c r="AN1058" s="14">
        <f t="shared" si="82"/>
        <v>0</v>
      </c>
      <c r="AO1058" s="15" t="s">
        <v>1705</v>
      </c>
      <c r="AP1058" s="15" t="s">
        <v>1761</v>
      </c>
      <c r="AQ1058" s="8" t="s">
        <v>1773</v>
      </c>
      <c r="AS1058" s="14">
        <f t="shared" si="83"/>
        <v>0</v>
      </c>
      <c r="AT1058" s="14">
        <f t="shared" si="84"/>
        <v>0</v>
      </c>
      <c r="AU1058" s="14">
        <v>0</v>
      </c>
      <c r="AV1058" s="14">
        <f t="shared" si="85"/>
        <v>0</v>
      </c>
    </row>
    <row r="1059" spans="1:48" ht="12.75">
      <c r="A1059" s="99" t="s">
        <v>392</v>
      </c>
      <c r="B1059" s="99" t="s">
        <v>410</v>
      </c>
      <c r="C1059" s="99" t="s">
        <v>756</v>
      </c>
      <c r="D1059" s="99" t="s">
        <v>1616</v>
      </c>
      <c r="E1059" s="99" t="s">
        <v>1648</v>
      </c>
      <c r="F1059" s="100">
        <v>714.92</v>
      </c>
      <c r="G1059" s="100">
        <v>0</v>
      </c>
      <c r="H1059" s="100">
        <f t="shared" si="64"/>
        <v>0</v>
      </c>
      <c r="I1059" s="100">
        <f t="shared" si="65"/>
        <v>0</v>
      </c>
      <c r="J1059" s="100">
        <f t="shared" si="66"/>
        <v>0</v>
      </c>
      <c r="K1059" s="100">
        <v>0</v>
      </c>
      <c r="L1059" s="100">
        <f t="shared" si="67"/>
        <v>0</v>
      </c>
      <c r="M1059" s="101" t="s">
        <v>1667</v>
      </c>
      <c r="P1059" s="14">
        <f t="shared" si="68"/>
        <v>0</v>
      </c>
      <c r="R1059" s="14">
        <f t="shared" si="69"/>
        <v>0</v>
      </c>
      <c r="S1059" s="14">
        <f t="shared" si="70"/>
        <v>0</v>
      </c>
      <c r="T1059" s="14">
        <f t="shared" si="71"/>
        <v>0</v>
      </c>
      <c r="U1059" s="14">
        <f t="shared" si="72"/>
        <v>0</v>
      </c>
      <c r="V1059" s="14">
        <f t="shared" si="73"/>
        <v>0</v>
      </c>
      <c r="W1059" s="14">
        <f t="shared" si="74"/>
        <v>0</v>
      </c>
      <c r="X1059" s="14">
        <f t="shared" si="75"/>
        <v>0</v>
      </c>
      <c r="Y1059" s="8" t="s">
        <v>410</v>
      </c>
      <c r="Z1059" s="5">
        <f t="shared" si="76"/>
        <v>0</v>
      </c>
      <c r="AA1059" s="5">
        <f t="shared" si="77"/>
        <v>0</v>
      </c>
      <c r="AB1059" s="5">
        <f t="shared" si="78"/>
        <v>0</v>
      </c>
      <c r="AD1059" s="14">
        <v>15</v>
      </c>
      <c r="AE1059" s="14">
        <f t="shared" si="79"/>
        <v>0</v>
      </c>
      <c r="AF1059" s="14">
        <f t="shared" si="80"/>
        <v>0</v>
      </c>
      <c r="AG1059" s="10" t="s">
        <v>11</v>
      </c>
      <c r="AM1059" s="14">
        <f t="shared" si="81"/>
        <v>0</v>
      </c>
      <c r="AN1059" s="14">
        <f t="shared" si="82"/>
        <v>0</v>
      </c>
      <c r="AO1059" s="15" t="s">
        <v>1705</v>
      </c>
      <c r="AP1059" s="15" t="s">
        <v>1761</v>
      </c>
      <c r="AQ1059" s="8" t="s">
        <v>1773</v>
      </c>
      <c r="AS1059" s="14">
        <f t="shared" si="83"/>
        <v>0</v>
      </c>
      <c r="AT1059" s="14">
        <f t="shared" si="84"/>
        <v>0</v>
      </c>
      <c r="AU1059" s="14">
        <v>0</v>
      </c>
      <c r="AV1059" s="14">
        <f t="shared" si="85"/>
        <v>0</v>
      </c>
    </row>
    <row r="1060" spans="1:37" ht="12.75">
      <c r="A1060" s="93"/>
      <c r="B1060" s="94" t="s">
        <v>410</v>
      </c>
      <c r="C1060" s="94" t="s">
        <v>101</v>
      </c>
      <c r="D1060" s="95" t="s">
        <v>1372</v>
      </c>
      <c r="E1060" s="96"/>
      <c r="F1060" s="96"/>
      <c r="G1060" s="96"/>
      <c r="H1060" s="97">
        <f>SUM(H1061:H1062)</f>
        <v>0</v>
      </c>
      <c r="I1060" s="97">
        <f>SUM(I1061:I1062)</f>
        <v>0</v>
      </c>
      <c r="J1060" s="97">
        <f>H1060+I1060</f>
        <v>0</v>
      </c>
      <c r="K1060" s="98"/>
      <c r="L1060" s="97">
        <f>SUM(L1061:L1062)</f>
        <v>0</v>
      </c>
      <c r="M1060" s="98"/>
      <c r="Y1060" s="8" t="s">
        <v>410</v>
      </c>
      <c r="AI1060" s="16">
        <f>SUM(Z1061:Z1062)</f>
        <v>0</v>
      </c>
      <c r="AJ1060" s="16">
        <f>SUM(AA1061:AA1062)</f>
        <v>0</v>
      </c>
      <c r="AK1060" s="16">
        <f>SUM(AB1061:AB1062)</f>
        <v>0</v>
      </c>
    </row>
    <row r="1061" spans="1:48" ht="12.75">
      <c r="A1061" s="99" t="s">
        <v>393</v>
      </c>
      <c r="B1061" s="99" t="s">
        <v>410</v>
      </c>
      <c r="C1061" s="99" t="s">
        <v>757</v>
      </c>
      <c r="D1061" s="99" t="s">
        <v>1617</v>
      </c>
      <c r="E1061" s="99" t="s">
        <v>1645</v>
      </c>
      <c r="F1061" s="100">
        <v>1</v>
      </c>
      <c r="G1061" s="100">
        <v>0</v>
      </c>
      <c r="H1061" s="100">
        <f>F1061*AE1061</f>
        <v>0</v>
      </c>
      <c r="I1061" s="100">
        <f>J1061-H1061</f>
        <v>0</v>
      </c>
      <c r="J1061" s="100">
        <f>F1061*G1061</f>
        <v>0</v>
      </c>
      <c r="K1061" s="100">
        <v>0</v>
      </c>
      <c r="L1061" s="100">
        <f>F1061*K1061</f>
        <v>0</v>
      </c>
      <c r="M1061" s="101" t="s">
        <v>1669</v>
      </c>
      <c r="P1061" s="14">
        <f>IF(AG1061="5",J1061,0)</f>
        <v>0</v>
      </c>
      <c r="R1061" s="14">
        <f>IF(AG1061="1",H1061,0)</f>
        <v>0</v>
      </c>
      <c r="S1061" s="14">
        <f>IF(AG1061="1",I1061,0)</f>
        <v>0</v>
      </c>
      <c r="T1061" s="14">
        <f>IF(AG1061="7",H1061,0)</f>
        <v>0</v>
      </c>
      <c r="U1061" s="14">
        <f>IF(AG1061="7",I1061,0)</f>
        <v>0</v>
      </c>
      <c r="V1061" s="14">
        <f>IF(AG1061="2",H1061,0)</f>
        <v>0</v>
      </c>
      <c r="W1061" s="14">
        <f>IF(AG1061="2",I1061,0)</f>
        <v>0</v>
      </c>
      <c r="X1061" s="14">
        <f>IF(AG1061="0",J1061,0)</f>
        <v>0</v>
      </c>
      <c r="Y1061" s="8" t="s">
        <v>410</v>
      </c>
      <c r="Z1061" s="5">
        <f>IF(AD1061=0,J1061,0)</f>
        <v>0</v>
      </c>
      <c r="AA1061" s="5">
        <f>IF(AD1061=15,J1061,0)</f>
        <v>0</v>
      </c>
      <c r="AB1061" s="5">
        <f>IF(AD1061=21,J1061,0)</f>
        <v>0</v>
      </c>
      <c r="AD1061" s="14">
        <v>15</v>
      </c>
      <c r="AE1061" s="14">
        <f>G1061*0</f>
        <v>0</v>
      </c>
      <c r="AF1061" s="14">
        <f>G1061*(1-0)</f>
        <v>0</v>
      </c>
      <c r="AG1061" s="10" t="s">
        <v>7</v>
      </c>
      <c r="AM1061" s="14">
        <f>F1061*AE1061</f>
        <v>0</v>
      </c>
      <c r="AN1061" s="14">
        <f>F1061*AF1061</f>
        <v>0</v>
      </c>
      <c r="AO1061" s="15" t="s">
        <v>1714</v>
      </c>
      <c r="AP1061" s="15" t="s">
        <v>1762</v>
      </c>
      <c r="AQ1061" s="8" t="s">
        <v>1773</v>
      </c>
      <c r="AS1061" s="14">
        <f>AM1061+AN1061</f>
        <v>0</v>
      </c>
      <c r="AT1061" s="14">
        <f>G1061/(100-AU1061)*100</f>
        <v>0</v>
      </c>
      <c r="AU1061" s="14">
        <v>0</v>
      </c>
      <c r="AV1061" s="14">
        <f>L1061</f>
        <v>0</v>
      </c>
    </row>
    <row r="1062" spans="1:48" ht="12.75">
      <c r="A1062" s="99" t="s">
        <v>394</v>
      </c>
      <c r="B1062" s="99" t="s">
        <v>410</v>
      </c>
      <c r="C1062" s="99" t="s">
        <v>758</v>
      </c>
      <c r="D1062" s="99" t="s">
        <v>1618</v>
      </c>
      <c r="E1062" s="99" t="s">
        <v>1644</v>
      </c>
      <c r="F1062" s="100">
        <v>20</v>
      </c>
      <c r="G1062" s="100">
        <v>0</v>
      </c>
      <c r="H1062" s="100">
        <f>F1062*AE1062</f>
        <v>0</v>
      </c>
      <c r="I1062" s="100">
        <f>J1062-H1062</f>
        <v>0</v>
      </c>
      <c r="J1062" s="100">
        <f>F1062*G1062</f>
        <v>0</v>
      </c>
      <c r="K1062" s="100">
        <v>0</v>
      </c>
      <c r="L1062" s="100">
        <f>F1062*K1062</f>
        <v>0</v>
      </c>
      <c r="M1062" s="101" t="s">
        <v>1667</v>
      </c>
      <c r="P1062" s="14">
        <f>IF(AG1062="5",J1062,0)</f>
        <v>0</v>
      </c>
      <c r="R1062" s="14">
        <f>IF(AG1062="1",H1062,0)</f>
        <v>0</v>
      </c>
      <c r="S1062" s="14">
        <f>IF(AG1062="1",I1062,0)</f>
        <v>0</v>
      </c>
      <c r="T1062" s="14">
        <f>IF(AG1062="7",H1062,0)</f>
        <v>0</v>
      </c>
      <c r="U1062" s="14">
        <f>IF(AG1062="7",I1062,0)</f>
        <v>0</v>
      </c>
      <c r="V1062" s="14">
        <f>IF(AG1062="2",H1062,0)</f>
        <v>0</v>
      </c>
      <c r="W1062" s="14">
        <f>IF(AG1062="2",I1062,0)</f>
        <v>0</v>
      </c>
      <c r="X1062" s="14">
        <f>IF(AG1062="0",J1062,0)</f>
        <v>0</v>
      </c>
      <c r="Y1062" s="8" t="s">
        <v>410</v>
      </c>
      <c r="Z1062" s="5">
        <f>IF(AD1062=0,J1062,0)</f>
        <v>0</v>
      </c>
      <c r="AA1062" s="5">
        <f>IF(AD1062=15,J1062,0)</f>
        <v>0</v>
      </c>
      <c r="AB1062" s="5">
        <f>IF(AD1062=21,J1062,0)</f>
        <v>0</v>
      </c>
      <c r="AD1062" s="14">
        <v>15</v>
      </c>
      <c r="AE1062" s="14">
        <f>G1062*0</f>
        <v>0</v>
      </c>
      <c r="AF1062" s="14">
        <f>G1062*(1-0)</f>
        <v>0</v>
      </c>
      <c r="AG1062" s="10" t="s">
        <v>7</v>
      </c>
      <c r="AM1062" s="14">
        <f>F1062*AE1062</f>
        <v>0</v>
      </c>
      <c r="AN1062" s="14">
        <f>F1062*AF1062</f>
        <v>0</v>
      </c>
      <c r="AO1062" s="15" t="s">
        <v>1714</v>
      </c>
      <c r="AP1062" s="15" t="s">
        <v>1762</v>
      </c>
      <c r="AQ1062" s="8" t="s">
        <v>1773</v>
      </c>
      <c r="AS1062" s="14">
        <f>AM1062+AN1062</f>
        <v>0</v>
      </c>
      <c r="AT1062" s="14">
        <f>G1062/(100-AU1062)*100</f>
        <v>0</v>
      </c>
      <c r="AU1062" s="14">
        <v>0</v>
      </c>
      <c r="AV1062" s="14">
        <f>L1062</f>
        <v>0</v>
      </c>
    </row>
    <row r="1063" spans="1:37" ht="12.75">
      <c r="A1063" s="93"/>
      <c r="B1063" s="94" t="s">
        <v>410</v>
      </c>
      <c r="C1063" s="94" t="s">
        <v>720</v>
      </c>
      <c r="D1063" s="95" t="s">
        <v>1538</v>
      </c>
      <c r="E1063" s="96"/>
      <c r="F1063" s="96"/>
      <c r="G1063" s="96"/>
      <c r="H1063" s="97">
        <f>SUM(H1064:H1064)</f>
        <v>0</v>
      </c>
      <c r="I1063" s="97">
        <f>SUM(I1064:I1064)</f>
        <v>0</v>
      </c>
      <c r="J1063" s="97">
        <f>H1063+I1063</f>
        <v>0</v>
      </c>
      <c r="K1063" s="98"/>
      <c r="L1063" s="97">
        <f>SUM(L1064:L1064)</f>
        <v>0</v>
      </c>
      <c r="M1063" s="98"/>
      <c r="Y1063" s="8" t="s">
        <v>410</v>
      </c>
      <c r="AI1063" s="16">
        <f>SUM(Z1064:Z1064)</f>
        <v>0</v>
      </c>
      <c r="AJ1063" s="16">
        <f>SUM(AA1064:AA1064)</f>
        <v>0</v>
      </c>
      <c r="AK1063" s="16">
        <f>SUM(AB1064:AB1064)</f>
        <v>0</v>
      </c>
    </row>
    <row r="1064" spans="1:48" ht="12.75">
      <c r="A1064" s="99" t="s">
        <v>395</v>
      </c>
      <c r="B1064" s="99" t="s">
        <v>410</v>
      </c>
      <c r="C1064" s="99" t="s">
        <v>759</v>
      </c>
      <c r="D1064" s="99" t="s">
        <v>1619</v>
      </c>
      <c r="E1064" s="99" t="s">
        <v>1642</v>
      </c>
      <c r="F1064" s="100">
        <v>25.09</v>
      </c>
      <c r="G1064" s="100">
        <v>0</v>
      </c>
      <c r="H1064" s="100">
        <f>F1064*AE1064</f>
        <v>0</v>
      </c>
      <c r="I1064" s="100">
        <f>J1064-H1064</f>
        <v>0</v>
      </c>
      <c r="J1064" s="100">
        <f>F1064*G1064</f>
        <v>0</v>
      </c>
      <c r="K1064" s="100">
        <v>0</v>
      </c>
      <c r="L1064" s="100">
        <f>F1064*K1064</f>
        <v>0</v>
      </c>
      <c r="M1064" s="101" t="s">
        <v>1667</v>
      </c>
      <c r="P1064" s="14">
        <f>IF(AG1064="5",J1064,0)</f>
        <v>0</v>
      </c>
      <c r="R1064" s="14">
        <f>IF(AG1064="1",H1064,0)</f>
        <v>0</v>
      </c>
      <c r="S1064" s="14">
        <f>IF(AG1064="1",I1064,0)</f>
        <v>0</v>
      </c>
      <c r="T1064" s="14">
        <f>IF(AG1064="7",H1064,0)</f>
        <v>0</v>
      </c>
      <c r="U1064" s="14">
        <f>IF(AG1064="7",I1064,0)</f>
        <v>0</v>
      </c>
      <c r="V1064" s="14">
        <f>IF(AG1064="2",H1064,0)</f>
        <v>0</v>
      </c>
      <c r="W1064" s="14">
        <f>IF(AG1064="2",I1064,0)</f>
        <v>0</v>
      </c>
      <c r="X1064" s="14">
        <f>IF(AG1064="0",J1064,0)</f>
        <v>0</v>
      </c>
      <c r="Y1064" s="8" t="s">
        <v>410</v>
      </c>
      <c r="Z1064" s="5">
        <f>IF(AD1064=0,J1064,0)</f>
        <v>0</v>
      </c>
      <c r="AA1064" s="5">
        <f>IF(AD1064=15,J1064,0)</f>
        <v>0</v>
      </c>
      <c r="AB1064" s="5">
        <f>IF(AD1064=21,J1064,0)</f>
        <v>0</v>
      </c>
      <c r="AD1064" s="14">
        <v>15</v>
      </c>
      <c r="AE1064" s="14">
        <f>G1064*0</f>
        <v>0</v>
      </c>
      <c r="AF1064" s="14">
        <f>G1064*(1-0)</f>
        <v>0</v>
      </c>
      <c r="AG1064" s="10" t="s">
        <v>11</v>
      </c>
      <c r="AM1064" s="14">
        <f>F1064*AE1064</f>
        <v>0</v>
      </c>
      <c r="AN1064" s="14">
        <f>F1064*AF1064</f>
        <v>0</v>
      </c>
      <c r="AO1064" s="15" t="s">
        <v>1719</v>
      </c>
      <c r="AP1064" s="15" t="s">
        <v>1762</v>
      </c>
      <c r="AQ1064" s="8" t="s">
        <v>1773</v>
      </c>
      <c r="AS1064" s="14">
        <f>AM1064+AN1064</f>
        <v>0</v>
      </c>
      <c r="AT1064" s="14">
        <f>G1064/(100-AU1064)*100</f>
        <v>0</v>
      </c>
      <c r="AU1064" s="14">
        <v>0</v>
      </c>
      <c r="AV1064" s="14">
        <f>L1064</f>
        <v>0</v>
      </c>
    </row>
    <row r="1065" spans="1:13" ht="12.75">
      <c r="A1065" s="113"/>
      <c r="B1065" s="114" t="s">
        <v>411</v>
      </c>
      <c r="C1065" s="114"/>
      <c r="D1065" s="115" t="s">
        <v>1620</v>
      </c>
      <c r="E1065" s="116"/>
      <c r="F1065" s="116"/>
      <c r="G1065" s="116"/>
      <c r="H1065" s="117">
        <f>H1066+H1070</f>
        <v>0</v>
      </c>
      <c r="I1065" s="117">
        <f>I1066+I1070</f>
        <v>0</v>
      </c>
      <c r="J1065" s="117">
        <f>H1065+I1065</f>
        <v>0</v>
      </c>
      <c r="K1065" s="118"/>
      <c r="L1065" s="117">
        <f>L1066+L1070</f>
        <v>2.521638</v>
      </c>
      <c r="M1065" s="118"/>
    </row>
    <row r="1066" spans="1:37" ht="12.75">
      <c r="A1066" s="93"/>
      <c r="B1066" s="94" t="s">
        <v>411</v>
      </c>
      <c r="C1066" s="94" t="s">
        <v>81</v>
      </c>
      <c r="D1066" s="95" t="s">
        <v>1108</v>
      </c>
      <c r="E1066" s="96"/>
      <c r="F1066" s="96"/>
      <c r="G1066" s="96"/>
      <c r="H1066" s="97">
        <f>SUM(H1067:H1069)</f>
        <v>0</v>
      </c>
      <c r="I1066" s="97">
        <f>SUM(I1067:I1069)</f>
        <v>0</v>
      </c>
      <c r="J1066" s="97">
        <f>H1066+I1066</f>
        <v>0</v>
      </c>
      <c r="K1066" s="98"/>
      <c r="L1066" s="97">
        <f>SUM(L1067:L1069)</f>
        <v>0</v>
      </c>
      <c r="M1066" s="98"/>
      <c r="Y1066" s="8" t="s">
        <v>411</v>
      </c>
      <c r="AI1066" s="16">
        <f>SUM(Z1067:Z1069)</f>
        <v>0</v>
      </c>
      <c r="AJ1066" s="16">
        <f>SUM(AA1067:AA1069)</f>
        <v>0</v>
      </c>
      <c r="AK1066" s="16">
        <f>SUM(AB1067:AB1069)</f>
        <v>0</v>
      </c>
    </row>
    <row r="1067" spans="1:48" ht="12.75">
      <c r="A1067" s="99" t="s">
        <v>396</v>
      </c>
      <c r="B1067" s="99" t="s">
        <v>411</v>
      </c>
      <c r="C1067" s="99" t="s">
        <v>760</v>
      </c>
      <c r="D1067" s="99" t="s">
        <v>1621</v>
      </c>
      <c r="E1067" s="99" t="s">
        <v>1647</v>
      </c>
      <c r="F1067" s="100">
        <v>1</v>
      </c>
      <c r="G1067" s="100">
        <v>0</v>
      </c>
      <c r="H1067" s="100">
        <f>F1067*AE1067</f>
        <v>0</v>
      </c>
      <c r="I1067" s="100">
        <f>J1067-H1067</f>
        <v>0</v>
      </c>
      <c r="J1067" s="100">
        <f>F1067*G1067</f>
        <v>0</v>
      </c>
      <c r="K1067" s="100">
        <v>0</v>
      </c>
      <c r="L1067" s="100">
        <f>F1067*K1067</f>
        <v>0</v>
      </c>
      <c r="M1067" s="101" t="s">
        <v>1669</v>
      </c>
      <c r="P1067" s="14">
        <f>IF(AG1067="5",J1067,0)</f>
        <v>0</v>
      </c>
      <c r="R1067" s="14">
        <f>IF(AG1067="1",H1067,0)</f>
        <v>0</v>
      </c>
      <c r="S1067" s="14">
        <f>IF(AG1067="1",I1067,0)</f>
        <v>0</v>
      </c>
      <c r="T1067" s="14">
        <f>IF(AG1067="7",H1067,0)</f>
        <v>0</v>
      </c>
      <c r="U1067" s="14">
        <f>IF(AG1067="7",I1067,0)</f>
        <v>0</v>
      </c>
      <c r="V1067" s="14">
        <f>IF(AG1067="2",H1067,0)</f>
        <v>0</v>
      </c>
      <c r="W1067" s="14">
        <f>IF(AG1067="2",I1067,0)</f>
        <v>0</v>
      </c>
      <c r="X1067" s="14">
        <f>IF(AG1067="0",J1067,0)</f>
        <v>0</v>
      </c>
      <c r="Y1067" s="8" t="s">
        <v>411</v>
      </c>
      <c r="Z1067" s="5">
        <f>IF(AD1067=0,J1067,0)</f>
        <v>0</v>
      </c>
      <c r="AA1067" s="5">
        <f>IF(AD1067=15,J1067,0)</f>
        <v>0</v>
      </c>
      <c r="AB1067" s="5">
        <f>IF(AD1067=21,J1067,0)</f>
        <v>0</v>
      </c>
      <c r="AD1067" s="14">
        <v>15</v>
      </c>
      <c r="AE1067" s="14">
        <f>G1067*0</f>
        <v>0</v>
      </c>
      <c r="AF1067" s="14">
        <f>G1067*(1-0)</f>
        <v>0</v>
      </c>
      <c r="AG1067" s="10" t="s">
        <v>13</v>
      </c>
      <c r="AM1067" s="14">
        <f>F1067*AE1067</f>
        <v>0</v>
      </c>
      <c r="AN1067" s="14">
        <f>F1067*AF1067</f>
        <v>0</v>
      </c>
      <c r="AO1067" s="15" t="s">
        <v>1700</v>
      </c>
      <c r="AP1067" s="15" t="s">
        <v>1763</v>
      </c>
      <c r="AQ1067" s="8" t="s">
        <v>1774</v>
      </c>
      <c r="AS1067" s="14">
        <f>AM1067+AN1067</f>
        <v>0</v>
      </c>
      <c r="AT1067" s="14">
        <f>G1067/(100-AU1067)*100</f>
        <v>0</v>
      </c>
      <c r="AU1067" s="14">
        <v>0</v>
      </c>
      <c r="AV1067" s="14">
        <f>L1067</f>
        <v>0</v>
      </c>
    </row>
    <row r="1068" spans="1:48" ht="12.75">
      <c r="A1068" s="99" t="s">
        <v>397</v>
      </c>
      <c r="B1068" s="99" t="s">
        <v>411</v>
      </c>
      <c r="C1068" s="99" t="s">
        <v>761</v>
      </c>
      <c r="D1068" s="99" t="s">
        <v>1622</v>
      </c>
      <c r="E1068" s="99" t="s">
        <v>1643</v>
      </c>
      <c r="F1068" s="100">
        <v>13</v>
      </c>
      <c r="G1068" s="100">
        <v>0</v>
      </c>
      <c r="H1068" s="100">
        <f>F1068*AE1068</f>
        <v>0</v>
      </c>
      <c r="I1068" s="100">
        <f>J1068-H1068</f>
        <v>0</v>
      </c>
      <c r="J1068" s="100">
        <f>F1068*G1068</f>
        <v>0</v>
      </c>
      <c r="K1068" s="100">
        <v>0</v>
      </c>
      <c r="L1068" s="100">
        <f>F1068*K1068</f>
        <v>0</v>
      </c>
      <c r="M1068" s="101" t="s">
        <v>1667</v>
      </c>
      <c r="P1068" s="14">
        <f>IF(AG1068="5",J1068,0)</f>
        <v>0</v>
      </c>
      <c r="R1068" s="14">
        <f>IF(AG1068="1",H1068,0)</f>
        <v>0</v>
      </c>
      <c r="S1068" s="14">
        <f>IF(AG1068="1",I1068,0)</f>
        <v>0</v>
      </c>
      <c r="T1068" s="14">
        <f>IF(AG1068="7",H1068,0)</f>
        <v>0</v>
      </c>
      <c r="U1068" s="14">
        <f>IF(AG1068="7",I1068,0)</f>
        <v>0</v>
      </c>
      <c r="V1068" s="14">
        <f>IF(AG1068="2",H1068,0)</f>
        <v>0</v>
      </c>
      <c r="W1068" s="14">
        <f>IF(AG1068="2",I1068,0)</f>
        <v>0</v>
      </c>
      <c r="X1068" s="14">
        <f>IF(AG1068="0",J1068,0)</f>
        <v>0</v>
      </c>
      <c r="Y1068" s="8" t="s">
        <v>411</v>
      </c>
      <c r="Z1068" s="5">
        <f>IF(AD1068=0,J1068,0)</f>
        <v>0</v>
      </c>
      <c r="AA1068" s="5">
        <f>IF(AD1068=15,J1068,0)</f>
        <v>0</v>
      </c>
      <c r="AB1068" s="5">
        <f>IF(AD1068=21,J1068,0)</f>
        <v>0</v>
      </c>
      <c r="AD1068" s="14">
        <v>15</v>
      </c>
      <c r="AE1068" s="14">
        <f>G1068*0</f>
        <v>0</v>
      </c>
      <c r="AF1068" s="14">
        <f>G1068*(1-0)</f>
        <v>0</v>
      </c>
      <c r="AG1068" s="10" t="s">
        <v>13</v>
      </c>
      <c r="AM1068" s="14">
        <f>F1068*AE1068</f>
        <v>0</v>
      </c>
      <c r="AN1068" s="14">
        <f>F1068*AF1068</f>
        <v>0</v>
      </c>
      <c r="AO1068" s="15" t="s">
        <v>1700</v>
      </c>
      <c r="AP1068" s="15" t="s">
        <v>1763</v>
      </c>
      <c r="AQ1068" s="8" t="s">
        <v>1774</v>
      </c>
      <c r="AS1068" s="14">
        <f>AM1068+AN1068</f>
        <v>0</v>
      </c>
      <c r="AT1068" s="14">
        <f>G1068/(100-AU1068)*100</f>
        <v>0</v>
      </c>
      <c r="AU1068" s="14">
        <v>0</v>
      </c>
      <c r="AV1068" s="14">
        <f>L1068</f>
        <v>0</v>
      </c>
    </row>
    <row r="1069" spans="1:48" ht="12.75">
      <c r="A1069" s="99" t="s">
        <v>398</v>
      </c>
      <c r="B1069" s="99" t="s">
        <v>411</v>
      </c>
      <c r="C1069" s="99" t="s">
        <v>762</v>
      </c>
      <c r="D1069" s="99" t="s">
        <v>1623</v>
      </c>
      <c r="E1069" s="99" t="s">
        <v>1645</v>
      </c>
      <c r="F1069" s="100">
        <v>1</v>
      </c>
      <c r="G1069" s="100">
        <v>0</v>
      </c>
      <c r="H1069" s="100">
        <f>F1069*AE1069</f>
        <v>0</v>
      </c>
      <c r="I1069" s="100">
        <f>J1069-H1069</f>
        <v>0</v>
      </c>
      <c r="J1069" s="100">
        <f>F1069*G1069</f>
        <v>0</v>
      </c>
      <c r="K1069" s="100">
        <v>0</v>
      </c>
      <c r="L1069" s="100">
        <f>F1069*K1069</f>
        <v>0</v>
      </c>
      <c r="M1069" s="101" t="s">
        <v>1669</v>
      </c>
      <c r="P1069" s="14">
        <f>IF(AG1069="5",J1069,0)</f>
        <v>0</v>
      </c>
      <c r="R1069" s="14">
        <f>IF(AG1069="1",H1069,0)</f>
        <v>0</v>
      </c>
      <c r="S1069" s="14">
        <f>IF(AG1069="1",I1069,0)</f>
        <v>0</v>
      </c>
      <c r="T1069" s="14">
        <f>IF(AG1069="7",H1069,0)</f>
        <v>0</v>
      </c>
      <c r="U1069" s="14">
        <f>IF(AG1069="7",I1069,0)</f>
        <v>0</v>
      </c>
      <c r="V1069" s="14">
        <f>IF(AG1069="2",H1069,0)</f>
        <v>0</v>
      </c>
      <c r="W1069" s="14">
        <f>IF(AG1069="2",I1069,0)</f>
        <v>0</v>
      </c>
      <c r="X1069" s="14">
        <f>IF(AG1069="0",J1069,0)</f>
        <v>0</v>
      </c>
      <c r="Y1069" s="8" t="s">
        <v>411</v>
      </c>
      <c r="Z1069" s="5">
        <f>IF(AD1069=0,J1069,0)</f>
        <v>0</v>
      </c>
      <c r="AA1069" s="5">
        <f>IF(AD1069=15,J1069,0)</f>
        <v>0</v>
      </c>
      <c r="AB1069" s="5">
        <f>IF(AD1069=21,J1069,0)</f>
        <v>0</v>
      </c>
      <c r="AD1069" s="14">
        <v>15</v>
      </c>
      <c r="AE1069" s="14">
        <f>G1069*0</f>
        <v>0</v>
      </c>
      <c r="AF1069" s="14">
        <f>G1069*(1-0)</f>
        <v>0</v>
      </c>
      <c r="AG1069" s="10" t="s">
        <v>13</v>
      </c>
      <c r="AM1069" s="14">
        <f>F1069*AE1069</f>
        <v>0</v>
      </c>
      <c r="AN1069" s="14">
        <f>F1069*AF1069</f>
        <v>0</v>
      </c>
      <c r="AO1069" s="15" t="s">
        <v>1700</v>
      </c>
      <c r="AP1069" s="15" t="s">
        <v>1763</v>
      </c>
      <c r="AQ1069" s="8" t="s">
        <v>1774</v>
      </c>
      <c r="AS1069" s="14">
        <f>AM1069+AN1069</f>
        <v>0</v>
      </c>
      <c r="AT1069" s="14">
        <f>G1069/(100-AU1069)*100</f>
        <v>0</v>
      </c>
      <c r="AU1069" s="14">
        <v>0</v>
      </c>
      <c r="AV1069" s="14">
        <f>L1069</f>
        <v>0</v>
      </c>
    </row>
    <row r="1070" spans="1:37" ht="12.75">
      <c r="A1070" s="93"/>
      <c r="B1070" s="94" t="s">
        <v>411</v>
      </c>
      <c r="C1070" s="94" t="s">
        <v>665</v>
      </c>
      <c r="D1070" s="95" t="s">
        <v>1379</v>
      </c>
      <c r="E1070" s="96"/>
      <c r="F1070" s="96"/>
      <c r="G1070" s="96"/>
      <c r="H1070" s="97">
        <f>SUM(H1071:H1071)</f>
        <v>0</v>
      </c>
      <c r="I1070" s="97">
        <f>SUM(I1071:I1071)</f>
        <v>0</v>
      </c>
      <c r="J1070" s="97">
        <f>H1070+I1070</f>
        <v>0</v>
      </c>
      <c r="K1070" s="98"/>
      <c r="L1070" s="97">
        <f>SUM(L1071:L1071)</f>
        <v>2.521638</v>
      </c>
      <c r="M1070" s="98"/>
      <c r="Y1070" s="8" t="s">
        <v>411</v>
      </c>
      <c r="AI1070" s="16">
        <f>SUM(Z1071:Z1071)</f>
        <v>0</v>
      </c>
      <c r="AJ1070" s="16">
        <f>SUM(AA1071:AA1071)</f>
        <v>0</v>
      </c>
      <c r="AK1070" s="16">
        <f>SUM(AB1071:AB1071)</f>
        <v>0</v>
      </c>
    </row>
    <row r="1071" spans="1:48" ht="12.75">
      <c r="A1071" s="99" t="s">
        <v>399</v>
      </c>
      <c r="B1071" s="99" t="s">
        <v>411</v>
      </c>
      <c r="C1071" s="99" t="s">
        <v>763</v>
      </c>
      <c r="D1071" s="99" t="s">
        <v>1624</v>
      </c>
      <c r="E1071" s="99" t="s">
        <v>1643</v>
      </c>
      <c r="F1071" s="100">
        <v>18.9</v>
      </c>
      <c r="G1071" s="100">
        <v>0</v>
      </c>
      <c r="H1071" s="100">
        <f>F1071*AE1071</f>
        <v>0</v>
      </c>
      <c r="I1071" s="100">
        <f>J1071-H1071</f>
        <v>0</v>
      </c>
      <c r="J1071" s="100">
        <f>F1071*G1071</f>
        <v>0</v>
      </c>
      <c r="K1071" s="100">
        <v>0.13342</v>
      </c>
      <c r="L1071" s="100">
        <f>F1071*K1071</f>
        <v>2.521638</v>
      </c>
      <c r="M1071" s="101" t="s">
        <v>1667</v>
      </c>
      <c r="P1071" s="14">
        <f>IF(AG1071="5",J1071,0)</f>
        <v>0</v>
      </c>
      <c r="R1071" s="14">
        <f>IF(AG1071="1",H1071,0)</f>
        <v>0</v>
      </c>
      <c r="S1071" s="14">
        <f>IF(AG1071="1",I1071,0)</f>
        <v>0</v>
      </c>
      <c r="T1071" s="14">
        <f>IF(AG1071="7",H1071,0)</f>
        <v>0</v>
      </c>
      <c r="U1071" s="14">
        <f>IF(AG1071="7",I1071,0)</f>
        <v>0</v>
      </c>
      <c r="V1071" s="14">
        <f>IF(AG1071="2",H1071,0)</f>
        <v>0</v>
      </c>
      <c r="W1071" s="14">
        <f>IF(AG1071="2",I1071,0)</f>
        <v>0</v>
      </c>
      <c r="X1071" s="14">
        <f>IF(AG1071="0",J1071,0)</f>
        <v>0</v>
      </c>
      <c r="Y1071" s="8" t="s">
        <v>411</v>
      </c>
      <c r="Z1071" s="5">
        <f>IF(AD1071=0,J1071,0)</f>
        <v>0</v>
      </c>
      <c r="AA1071" s="5">
        <f>IF(AD1071=15,J1071,0)</f>
        <v>0</v>
      </c>
      <c r="AB1071" s="5">
        <f>IF(AD1071=21,J1071,0)</f>
        <v>0</v>
      </c>
      <c r="AD1071" s="14">
        <v>15</v>
      </c>
      <c r="AE1071" s="14">
        <f>G1071*0.482192472846678</f>
        <v>0</v>
      </c>
      <c r="AF1071" s="14">
        <f>G1071*(1-0.482192472846678)</f>
        <v>0</v>
      </c>
      <c r="AG1071" s="10" t="s">
        <v>8</v>
      </c>
      <c r="AM1071" s="14">
        <f>F1071*AE1071</f>
        <v>0</v>
      </c>
      <c r="AN1071" s="14">
        <f>F1071*AF1071</f>
        <v>0</v>
      </c>
      <c r="AO1071" s="15" t="s">
        <v>1716</v>
      </c>
      <c r="AP1071" s="15" t="s">
        <v>1764</v>
      </c>
      <c r="AQ1071" s="8" t="s">
        <v>1774</v>
      </c>
      <c r="AS1071" s="14">
        <f>AM1071+AN1071</f>
        <v>0</v>
      </c>
      <c r="AT1071" s="14">
        <f>G1071/(100-AU1071)*100</f>
        <v>0</v>
      </c>
      <c r="AU1071" s="14">
        <v>0</v>
      </c>
      <c r="AV1071" s="14">
        <f>L1071</f>
        <v>2.521638</v>
      </c>
    </row>
    <row r="1072" spans="1:13" ht="12.75">
      <c r="A1072" s="102"/>
      <c r="B1072" s="102"/>
      <c r="C1072" s="102"/>
      <c r="D1072" s="103" t="s">
        <v>1625</v>
      </c>
      <c r="E1072" s="102"/>
      <c r="F1072" s="104">
        <v>18.9</v>
      </c>
      <c r="G1072" s="102"/>
      <c r="H1072" s="102"/>
      <c r="I1072" s="102"/>
      <c r="J1072" s="102"/>
      <c r="K1072" s="102"/>
      <c r="L1072" s="102"/>
      <c r="M1072" s="102"/>
    </row>
    <row r="1073" spans="1:13" ht="12.75">
      <c r="A1073" s="113"/>
      <c r="B1073" s="114" t="s">
        <v>412</v>
      </c>
      <c r="C1073" s="114"/>
      <c r="D1073" s="115" t="s">
        <v>1626</v>
      </c>
      <c r="E1073" s="116"/>
      <c r="F1073" s="116"/>
      <c r="G1073" s="116"/>
      <c r="H1073" s="117">
        <f>H1074</f>
        <v>0</v>
      </c>
      <c r="I1073" s="117">
        <f>I1074</f>
        <v>0</v>
      </c>
      <c r="J1073" s="117">
        <f>H1073+I1073</f>
        <v>0</v>
      </c>
      <c r="K1073" s="118"/>
      <c r="L1073" s="117">
        <f>L1074</f>
        <v>0</v>
      </c>
      <c r="M1073" s="118"/>
    </row>
    <row r="1074" spans="1:37" ht="12.75">
      <c r="A1074" s="93"/>
      <c r="B1074" s="94" t="s">
        <v>412</v>
      </c>
      <c r="C1074" s="94" t="s">
        <v>93</v>
      </c>
      <c r="D1074" s="95" t="s">
        <v>1627</v>
      </c>
      <c r="E1074" s="96"/>
      <c r="F1074" s="96"/>
      <c r="G1074" s="96"/>
      <c r="H1074" s="97">
        <f>SUM(H1075:H1075)</f>
        <v>0</v>
      </c>
      <c r="I1074" s="97">
        <f>SUM(I1075:I1075)</f>
        <v>0</v>
      </c>
      <c r="J1074" s="97">
        <f>H1074+I1074</f>
        <v>0</v>
      </c>
      <c r="K1074" s="98"/>
      <c r="L1074" s="97">
        <f>SUM(L1075:L1075)</f>
        <v>0</v>
      </c>
      <c r="M1074" s="98"/>
      <c r="Y1074" s="8" t="s">
        <v>412</v>
      </c>
      <c r="AI1074" s="16">
        <f>SUM(Z1075:Z1075)</f>
        <v>0</v>
      </c>
      <c r="AJ1074" s="16">
        <f>SUM(AA1075:AA1075)</f>
        <v>0</v>
      </c>
      <c r="AK1074" s="16">
        <f>SUM(AB1075:AB1075)</f>
        <v>0</v>
      </c>
    </row>
    <row r="1075" spans="1:48" ht="12.75">
      <c r="A1075" s="99" t="s">
        <v>400</v>
      </c>
      <c r="B1075" s="99" t="s">
        <v>412</v>
      </c>
      <c r="C1075" s="99" t="s">
        <v>764</v>
      </c>
      <c r="D1075" s="99" t="s">
        <v>1628</v>
      </c>
      <c r="E1075" s="99" t="s">
        <v>1645</v>
      </c>
      <c r="F1075" s="100">
        <v>1</v>
      </c>
      <c r="G1075" s="100">
        <v>0</v>
      </c>
      <c r="H1075" s="100">
        <f>F1075*AE1075</f>
        <v>0</v>
      </c>
      <c r="I1075" s="100">
        <f>J1075-H1075</f>
        <v>0</v>
      </c>
      <c r="J1075" s="100">
        <f>F1075*G1075</f>
        <v>0</v>
      </c>
      <c r="K1075" s="100">
        <v>0</v>
      </c>
      <c r="L1075" s="100">
        <f>F1075*K1075</f>
        <v>0</v>
      </c>
      <c r="M1075" s="101" t="s">
        <v>1667</v>
      </c>
      <c r="P1075" s="14">
        <f>IF(AG1075="5",J1075,0)</f>
        <v>0</v>
      </c>
      <c r="R1075" s="14">
        <f>IF(AG1075="1",H1075,0)</f>
        <v>0</v>
      </c>
      <c r="S1075" s="14">
        <f>IF(AG1075="1",I1075,0)</f>
        <v>0</v>
      </c>
      <c r="T1075" s="14">
        <f>IF(AG1075="7",H1075,0)</f>
        <v>0</v>
      </c>
      <c r="U1075" s="14">
        <f>IF(AG1075="7",I1075,0)</f>
        <v>0</v>
      </c>
      <c r="V1075" s="14">
        <f>IF(AG1075="2",H1075,0)</f>
        <v>0</v>
      </c>
      <c r="W1075" s="14">
        <f>IF(AG1075="2",I1075,0)</f>
        <v>0</v>
      </c>
      <c r="X1075" s="14">
        <f>IF(AG1075="0",J1075,0)</f>
        <v>0</v>
      </c>
      <c r="Y1075" s="8" t="s">
        <v>412</v>
      </c>
      <c r="Z1075" s="5">
        <f>IF(AD1075=0,J1075,0)</f>
        <v>0</v>
      </c>
      <c r="AA1075" s="5">
        <f>IF(AD1075=15,J1075,0)</f>
        <v>0</v>
      </c>
      <c r="AB1075" s="5">
        <f>IF(AD1075=21,J1075,0)</f>
        <v>0</v>
      </c>
      <c r="AD1075" s="14">
        <v>15</v>
      </c>
      <c r="AE1075" s="14">
        <f>G1075*0</f>
        <v>0</v>
      </c>
      <c r="AF1075" s="14">
        <f>G1075*(1-0)</f>
        <v>0</v>
      </c>
      <c r="AG1075" s="10" t="s">
        <v>7</v>
      </c>
      <c r="AM1075" s="14">
        <f>F1075*AE1075</f>
        <v>0</v>
      </c>
      <c r="AN1075" s="14">
        <f>F1075*AF1075</f>
        <v>0</v>
      </c>
      <c r="AO1075" s="15" t="s">
        <v>1725</v>
      </c>
      <c r="AP1075" s="15" t="s">
        <v>1765</v>
      </c>
      <c r="AQ1075" s="8" t="s">
        <v>1775</v>
      </c>
      <c r="AS1075" s="14">
        <f>AM1075+AN1075</f>
        <v>0</v>
      </c>
      <c r="AT1075" s="14">
        <f>G1075/(100-AU1075)*100</f>
        <v>0</v>
      </c>
      <c r="AU1075" s="14">
        <v>0</v>
      </c>
      <c r="AV1075" s="14">
        <f>L1075</f>
        <v>0</v>
      </c>
    </row>
    <row r="1076" spans="1:13" ht="12.75">
      <c r="A1076" s="113"/>
      <c r="B1076" s="114" t="s">
        <v>413</v>
      </c>
      <c r="C1076" s="114"/>
      <c r="D1076" s="115" t="s">
        <v>1629</v>
      </c>
      <c r="E1076" s="116"/>
      <c r="F1076" s="116"/>
      <c r="G1076" s="116"/>
      <c r="H1076" s="117">
        <f>H1077</f>
        <v>0</v>
      </c>
      <c r="I1076" s="117">
        <f>I1077</f>
        <v>0</v>
      </c>
      <c r="J1076" s="117">
        <f>H1076+I1076</f>
        <v>0</v>
      </c>
      <c r="K1076" s="118"/>
      <c r="L1076" s="117">
        <f>L1077</f>
        <v>0</v>
      </c>
      <c r="M1076" s="118"/>
    </row>
    <row r="1077" spans="1:37" ht="12.75">
      <c r="A1077" s="93"/>
      <c r="B1077" s="94" t="s">
        <v>413</v>
      </c>
      <c r="C1077" s="94" t="s">
        <v>93</v>
      </c>
      <c r="D1077" s="95" t="s">
        <v>1627</v>
      </c>
      <c r="E1077" s="96"/>
      <c r="F1077" s="96"/>
      <c r="G1077" s="96"/>
      <c r="H1077" s="97">
        <f>SUM(H1078:H1078)</f>
        <v>0</v>
      </c>
      <c r="I1077" s="97">
        <f>SUM(I1078:I1078)</f>
        <v>0</v>
      </c>
      <c r="J1077" s="97">
        <f>H1077+I1077</f>
        <v>0</v>
      </c>
      <c r="K1077" s="98"/>
      <c r="L1077" s="97">
        <f>SUM(L1078:L1078)</f>
        <v>0</v>
      </c>
      <c r="M1077" s="98"/>
      <c r="Y1077" s="8" t="s">
        <v>413</v>
      </c>
      <c r="AI1077" s="16">
        <f>SUM(Z1078:Z1078)</f>
        <v>0</v>
      </c>
      <c r="AJ1077" s="16">
        <f>SUM(AA1078:AA1078)</f>
        <v>0</v>
      </c>
      <c r="AK1077" s="16">
        <f>SUM(AB1078:AB1078)</f>
        <v>0</v>
      </c>
    </row>
    <row r="1078" spans="1:48" ht="12.75">
      <c r="A1078" s="99" t="s">
        <v>401</v>
      </c>
      <c r="B1078" s="99" t="s">
        <v>413</v>
      </c>
      <c r="C1078" s="99" t="s">
        <v>765</v>
      </c>
      <c r="D1078" s="99" t="s">
        <v>1630</v>
      </c>
      <c r="E1078" s="99" t="s">
        <v>1645</v>
      </c>
      <c r="F1078" s="100">
        <v>1</v>
      </c>
      <c r="G1078" s="100">
        <v>0</v>
      </c>
      <c r="H1078" s="100">
        <f>F1078*AE1078</f>
        <v>0</v>
      </c>
      <c r="I1078" s="100">
        <f>J1078-H1078</f>
        <v>0</v>
      </c>
      <c r="J1078" s="100">
        <f>F1078*G1078</f>
        <v>0</v>
      </c>
      <c r="K1078" s="100">
        <v>0</v>
      </c>
      <c r="L1078" s="100">
        <f>F1078*K1078</f>
        <v>0</v>
      </c>
      <c r="M1078" s="101" t="s">
        <v>1667</v>
      </c>
      <c r="P1078" s="14">
        <f>IF(AG1078="5",J1078,0)</f>
        <v>0</v>
      </c>
      <c r="R1078" s="14">
        <f>IF(AG1078="1",H1078,0)</f>
        <v>0</v>
      </c>
      <c r="S1078" s="14">
        <f>IF(AG1078="1",I1078,0)</f>
        <v>0</v>
      </c>
      <c r="T1078" s="14">
        <f>IF(AG1078="7",H1078,0)</f>
        <v>0</v>
      </c>
      <c r="U1078" s="14">
        <f>IF(AG1078="7",I1078,0)</f>
        <v>0</v>
      </c>
      <c r="V1078" s="14">
        <f>IF(AG1078="2",H1078,0)</f>
        <v>0</v>
      </c>
      <c r="W1078" s="14">
        <f>IF(AG1078="2",I1078,0)</f>
        <v>0</v>
      </c>
      <c r="X1078" s="14">
        <f>IF(AG1078="0",J1078,0)</f>
        <v>0</v>
      </c>
      <c r="Y1078" s="8" t="s">
        <v>413</v>
      </c>
      <c r="Z1078" s="5">
        <f>IF(AD1078=0,J1078,0)</f>
        <v>0</v>
      </c>
      <c r="AA1078" s="5">
        <f>IF(AD1078=15,J1078,0)</f>
        <v>0</v>
      </c>
      <c r="AB1078" s="5">
        <f>IF(AD1078=21,J1078,0)</f>
        <v>0</v>
      </c>
      <c r="AD1078" s="14">
        <v>15</v>
      </c>
      <c r="AE1078" s="14">
        <f>G1078*0</f>
        <v>0</v>
      </c>
      <c r="AF1078" s="14">
        <f>G1078*(1-0)</f>
        <v>0</v>
      </c>
      <c r="AG1078" s="10" t="s">
        <v>7</v>
      </c>
      <c r="AM1078" s="14">
        <f>F1078*AE1078</f>
        <v>0</v>
      </c>
      <c r="AN1078" s="14">
        <f>F1078*AF1078</f>
        <v>0</v>
      </c>
      <c r="AO1078" s="15" t="s">
        <v>1725</v>
      </c>
      <c r="AP1078" s="15" t="s">
        <v>1766</v>
      </c>
      <c r="AQ1078" s="8" t="s">
        <v>1776</v>
      </c>
      <c r="AS1078" s="14">
        <f>AM1078+AN1078</f>
        <v>0</v>
      </c>
      <c r="AT1078" s="14">
        <f>G1078/(100-AU1078)*100</f>
        <v>0</v>
      </c>
      <c r="AU1078" s="14">
        <v>0</v>
      </c>
      <c r="AV1078" s="14">
        <f>L1078</f>
        <v>0</v>
      </c>
    </row>
    <row r="1079" spans="1:13" ht="12.75">
      <c r="A1079" s="113"/>
      <c r="B1079" s="114" t="s">
        <v>414</v>
      </c>
      <c r="C1079" s="114"/>
      <c r="D1079" s="115" t="s">
        <v>1631</v>
      </c>
      <c r="E1079" s="116"/>
      <c r="F1079" s="116"/>
      <c r="G1079" s="116"/>
      <c r="H1079" s="117">
        <f>H1080</f>
        <v>0</v>
      </c>
      <c r="I1079" s="117">
        <f>I1080</f>
        <v>0</v>
      </c>
      <c r="J1079" s="117">
        <f>H1079+I1079</f>
        <v>0</v>
      </c>
      <c r="K1079" s="118"/>
      <c r="L1079" s="117">
        <f>L1080</f>
        <v>0</v>
      </c>
      <c r="M1079" s="118"/>
    </row>
    <row r="1080" spans="1:37" ht="12.75">
      <c r="A1080" s="93"/>
      <c r="B1080" s="94" t="s">
        <v>414</v>
      </c>
      <c r="C1080" s="94" t="s">
        <v>93</v>
      </c>
      <c r="D1080" s="95" t="s">
        <v>1627</v>
      </c>
      <c r="E1080" s="96"/>
      <c r="F1080" s="96"/>
      <c r="G1080" s="96"/>
      <c r="H1080" s="97">
        <f>SUM(H1081:H1081)</f>
        <v>0</v>
      </c>
      <c r="I1080" s="97">
        <f>SUM(I1081:I1081)</f>
        <v>0</v>
      </c>
      <c r="J1080" s="97">
        <f>H1080+I1080</f>
        <v>0</v>
      </c>
      <c r="K1080" s="98"/>
      <c r="L1080" s="97">
        <f>SUM(L1081:L1081)</f>
        <v>0</v>
      </c>
      <c r="M1080" s="98"/>
      <c r="Y1080" s="8" t="s">
        <v>414</v>
      </c>
      <c r="AI1080" s="16">
        <f>SUM(Z1081:Z1081)</f>
        <v>0</v>
      </c>
      <c r="AJ1080" s="16">
        <f>SUM(AA1081:AA1081)</f>
        <v>0</v>
      </c>
      <c r="AK1080" s="16">
        <f>SUM(AB1081:AB1081)</f>
        <v>0</v>
      </c>
    </row>
    <row r="1081" spans="1:48" ht="12.75">
      <c r="A1081" s="99" t="s">
        <v>402</v>
      </c>
      <c r="B1081" s="99" t="s">
        <v>414</v>
      </c>
      <c r="C1081" s="99" t="s">
        <v>766</v>
      </c>
      <c r="D1081" s="99" t="s">
        <v>1632</v>
      </c>
      <c r="E1081" s="99" t="s">
        <v>1645</v>
      </c>
      <c r="F1081" s="100">
        <v>1</v>
      </c>
      <c r="G1081" s="100">
        <v>0</v>
      </c>
      <c r="H1081" s="100">
        <f>F1081*AE1081</f>
        <v>0</v>
      </c>
      <c r="I1081" s="100">
        <f>J1081-H1081</f>
        <v>0</v>
      </c>
      <c r="J1081" s="100">
        <f>F1081*G1081</f>
        <v>0</v>
      </c>
      <c r="K1081" s="100">
        <v>0</v>
      </c>
      <c r="L1081" s="100">
        <f>F1081*K1081</f>
        <v>0</v>
      </c>
      <c r="M1081" s="101" t="s">
        <v>1669</v>
      </c>
      <c r="P1081" s="14">
        <f>IF(AG1081="5",J1081,0)</f>
        <v>0</v>
      </c>
      <c r="R1081" s="14">
        <f>IF(AG1081="1",H1081,0)</f>
        <v>0</v>
      </c>
      <c r="S1081" s="14">
        <f>IF(AG1081="1",I1081,0)</f>
        <v>0</v>
      </c>
      <c r="T1081" s="14">
        <f>IF(AG1081="7",H1081,0)</f>
        <v>0</v>
      </c>
      <c r="U1081" s="14">
        <f>IF(AG1081="7",I1081,0)</f>
        <v>0</v>
      </c>
      <c r="V1081" s="14">
        <f>IF(AG1081="2",H1081,0)</f>
        <v>0</v>
      </c>
      <c r="W1081" s="14">
        <f>IF(AG1081="2",I1081,0)</f>
        <v>0</v>
      </c>
      <c r="X1081" s="14">
        <f>IF(AG1081="0",J1081,0)</f>
        <v>0</v>
      </c>
      <c r="Y1081" s="8" t="s">
        <v>414</v>
      </c>
      <c r="Z1081" s="5">
        <f>IF(AD1081=0,J1081,0)</f>
        <v>0</v>
      </c>
      <c r="AA1081" s="5">
        <f>IF(AD1081=15,J1081,0)</f>
        <v>0</v>
      </c>
      <c r="AB1081" s="5">
        <f>IF(AD1081=21,J1081,0)</f>
        <v>0</v>
      </c>
      <c r="AD1081" s="14">
        <v>15</v>
      </c>
      <c r="AE1081" s="14">
        <f>G1081*0</f>
        <v>0</v>
      </c>
      <c r="AF1081" s="14">
        <f>G1081*(1-0)</f>
        <v>0</v>
      </c>
      <c r="AG1081" s="10" t="s">
        <v>7</v>
      </c>
      <c r="AM1081" s="14">
        <f>F1081*AE1081</f>
        <v>0</v>
      </c>
      <c r="AN1081" s="14">
        <f>F1081*AF1081</f>
        <v>0</v>
      </c>
      <c r="AO1081" s="15" t="s">
        <v>1725</v>
      </c>
      <c r="AP1081" s="15" t="s">
        <v>1767</v>
      </c>
      <c r="AQ1081" s="8" t="s">
        <v>1777</v>
      </c>
      <c r="AS1081" s="14">
        <f>AM1081+AN1081</f>
        <v>0</v>
      </c>
      <c r="AT1081" s="14">
        <f>G1081/(100-AU1081)*100</f>
        <v>0</v>
      </c>
      <c r="AU1081" s="14">
        <v>0</v>
      </c>
      <c r="AV1081" s="14">
        <f>L1081</f>
        <v>0</v>
      </c>
    </row>
    <row r="1082" spans="1:13" ht="12.75">
      <c r="A1082" s="113"/>
      <c r="B1082" s="114" t="s">
        <v>16</v>
      </c>
      <c r="C1082" s="114"/>
      <c r="D1082" s="115" t="s">
        <v>1633</v>
      </c>
      <c r="E1082" s="116"/>
      <c r="F1082" s="116"/>
      <c r="G1082" s="116"/>
      <c r="H1082" s="117">
        <f>H1083</f>
        <v>0</v>
      </c>
      <c r="I1082" s="117">
        <f>I1083</f>
        <v>0</v>
      </c>
      <c r="J1082" s="117">
        <f>H1082+I1082</f>
        <v>0</v>
      </c>
      <c r="K1082" s="118"/>
      <c r="L1082" s="117">
        <f>L1083</f>
        <v>0</v>
      </c>
      <c r="M1082" s="118"/>
    </row>
    <row r="1083" spans="1:37" ht="12.75">
      <c r="A1083" s="93"/>
      <c r="B1083" s="94" t="s">
        <v>16</v>
      </c>
      <c r="C1083" s="94" t="s">
        <v>93</v>
      </c>
      <c r="D1083" s="95" t="s">
        <v>1627</v>
      </c>
      <c r="E1083" s="96"/>
      <c r="F1083" s="96"/>
      <c r="G1083" s="96"/>
      <c r="H1083" s="97">
        <f>SUM(H1084:H1084)</f>
        <v>0</v>
      </c>
      <c r="I1083" s="97">
        <f>SUM(I1084:I1084)</f>
        <v>0</v>
      </c>
      <c r="J1083" s="97">
        <f>H1083+I1083</f>
        <v>0</v>
      </c>
      <c r="K1083" s="98"/>
      <c r="L1083" s="97">
        <f>SUM(L1084:L1084)</f>
        <v>0</v>
      </c>
      <c r="M1083" s="98"/>
      <c r="Y1083" s="8" t="s">
        <v>16</v>
      </c>
      <c r="AI1083" s="16">
        <f>SUM(Z1084:Z1084)</f>
        <v>0</v>
      </c>
      <c r="AJ1083" s="16">
        <f>SUM(AA1084:AA1084)</f>
        <v>0</v>
      </c>
      <c r="AK1083" s="16">
        <f>SUM(AB1084:AB1084)</f>
        <v>0</v>
      </c>
    </row>
    <row r="1084" spans="1:48" ht="12.75">
      <c r="A1084" s="99" t="s">
        <v>403</v>
      </c>
      <c r="B1084" s="99" t="s">
        <v>16</v>
      </c>
      <c r="C1084" s="99" t="s">
        <v>767</v>
      </c>
      <c r="D1084" s="99" t="s">
        <v>1633</v>
      </c>
      <c r="E1084" s="99" t="s">
        <v>1645</v>
      </c>
      <c r="F1084" s="100">
        <v>1</v>
      </c>
      <c r="G1084" s="100">
        <v>0</v>
      </c>
      <c r="H1084" s="100">
        <f>F1084*AE1084</f>
        <v>0</v>
      </c>
      <c r="I1084" s="100">
        <f>J1084-H1084</f>
        <v>0</v>
      </c>
      <c r="J1084" s="100">
        <f>F1084*G1084</f>
        <v>0</v>
      </c>
      <c r="K1084" s="100">
        <v>0</v>
      </c>
      <c r="L1084" s="100">
        <f>F1084*K1084</f>
        <v>0</v>
      </c>
      <c r="M1084" s="101" t="s">
        <v>1671</v>
      </c>
      <c r="P1084" s="14">
        <f>IF(AG1084="5",J1084,0)</f>
        <v>0</v>
      </c>
      <c r="R1084" s="14">
        <f>IF(AG1084="1",H1084,0)</f>
        <v>0</v>
      </c>
      <c r="S1084" s="14">
        <f>IF(AG1084="1",I1084,0)</f>
        <v>0</v>
      </c>
      <c r="T1084" s="14">
        <f>IF(AG1084="7",H1084,0)</f>
        <v>0</v>
      </c>
      <c r="U1084" s="14">
        <f>IF(AG1084="7",I1084,0)</f>
        <v>0</v>
      </c>
      <c r="V1084" s="14">
        <f>IF(AG1084="2",H1084,0)</f>
        <v>0</v>
      </c>
      <c r="W1084" s="14">
        <f>IF(AG1084="2",I1084,0)</f>
        <v>0</v>
      </c>
      <c r="X1084" s="14">
        <f>IF(AG1084="0",J1084,0)</f>
        <v>0</v>
      </c>
      <c r="Y1084" s="8" t="s">
        <v>16</v>
      </c>
      <c r="Z1084" s="5">
        <f>IF(AD1084=0,J1084,0)</f>
        <v>0</v>
      </c>
      <c r="AA1084" s="5">
        <f>IF(AD1084=15,J1084,0)</f>
        <v>0</v>
      </c>
      <c r="AB1084" s="5">
        <f>IF(AD1084=21,J1084,0)</f>
        <v>0</v>
      </c>
      <c r="AD1084" s="14">
        <v>15</v>
      </c>
      <c r="AE1084" s="14">
        <f>G1084*0</f>
        <v>0</v>
      </c>
      <c r="AF1084" s="14">
        <f>G1084*(1-0)</f>
        <v>0</v>
      </c>
      <c r="AG1084" s="10" t="s">
        <v>7</v>
      </c>
      <c r="AM1084" s="14">
        <f>F1084*AE1084</f>
        <v>0</v>
      </c>
      <c r="AN1084" s="14">
        <f>F1084*AF1084</f>
        <v>0</v>
      </c>
      <c r="AO1084" s="15" t="s">
        <v>1725</v>
      </c>
      <c r="AP1084" s="15" t="s">
        <v>1768</v>
      </c>
      <c r="AQ1084" s="8" t="s">
        <v>1778</v>
      </c>
      <c r="AS1084" s="14">
        <f>AM1084+AN1084</f>
        <v>0</v>
      </c>
      <c r="AT1084" s="14">
        <f>G1084/(100-AU1084)*100</f>
        <v>0</v>
      </c>
      <c r="AU1084" s="14">
        <v>0</v>
      </c>
      <c r="AV1084" s="14">
        <f>L1084</f>
        <v>0</v>
      </c>
    </row>
    <row r="1085" spans="1:13" ht="12.75">
      <c r="A1085" s="108"/>
      <c r="B1085" s="108"/>
      <c r="C1085" s="108"/>
      <c r="D1085" s="108"/>
      <c r="E1085" s="108"/>
      <c r="F1085" s="108"/>
      <c r="G1085" s="108"/>
      <c r="H1085" s="109" t="s">
        <v>1655</v>
      </c>
      <c r="I1085" s="110"/>
      <c r="J1085" s="111">
        <f>J13+J20+J34+J42+J45+J80+J133+J166+J203+J207+J286+J292+J312+J328+J348+J356+J388+J390+J392+J394+J397+J468+J480+J503+J544+J556+J583+J619+J631+J648+J664+J687+J689+J695+J700+J702+J711+J721+J725+J727+J770+J779+J782+J800+J813+J831+J843+J845+J854+J875+J881+J883+J886+J889+J900+J908+J913+J919+J924+J927+J931+J937+J941+J944+J947+J949+J954+J957+J960+J964+J968+J970+J974+J983+J999+J1007+J1010+J1018+J1022+J1026+J1037+J1049+J1060+J1063+J1066+J1070+J1074+J1077+J1080+J1083</f>
        <v>0</v>
      </c>
      <c r="K1085" s="108"/>
      <c r="L1085" s="108"/>
      <c r="M1085" s="108"/>
    </row>
    <row r="1086" spans="1:13" ht="11.25" customHeight="1">
      <c r="A1086" s="112" t="s">
        <v>404</v>
      </c>
      <c r="B1086" s="102"/>
      <c r="C1086" s="102"/>
      <c r="D1086" s="102"/>
      <c r="E1086" s="102"/>
      <c r="F1086" s="102"/>
      <c r="G1086" s="102"/>
      <c r="H1086" s="102"/>
      <c r="I1086" s="102"/>
      <c r="J1086" s="102"/>
      <c r="K1086" s="102"/>
      <c r="L1086" s="102"/>
      <c r="M1086" s="102"/>
    </row>
    <row r="1087" spans="1:13" ht="409.5" customHeight="1" hidden="1">
      <c r="A1087" s="48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</row>
  </sheetData>
  <sheetProtection/>
  <mergeCells count="129">
    <mergeCell ref="H1085:I1085"/>
    <mergeCell ref="A1087:M1087"/>
    <mergeCell ref="D1076:G1076"/>
    <mergeCell ref="D1077:G1077"/>
    <mergeCell ref="D1079:G1079"/>
    <mergeCell ref="D1080:G1080"/>
    <mergeCell ref="D1082:G1082"/>
    <mergeCell ref="D1083:G1083"/>
    <mergeCell ref="D1063:G1063"/>
    <mergeCell ref="D1065:G1065"/>
    <mergeCell ref="D1066:G1066"/>
    <mergeCell ref="D1070:G1070"/>
    <mergeCell ref="D1073:G1073"/>
    <mergeCell ref="D1074:G1074"/>
    <mergeCell ref="D1018:G1018"/>
    <mergeCell ref="D1022:G1022"/>
    <mergeCell ref="D1026:G1026"/>
    <mergeCell ref="D1037:G1037"/>
    <mergeCell ref="D1049:G1049"/>
    <mergeCell ref="D1060:G1060"/>
    <mergeCell ref="D974:G974"/>
    <mergeCell ref="D983:G983"/>
    <mergeCell ref="D999:G999"/>
    <mergeCell ref="D1007:G1007"/>
    <mergeCell ref="D1009:G1009"/>
    <mergeCell ref="D1010:G1010"/>
    <mergeCell ref="D957:G957"/>
    <mergeCell ref="D959:G959"/>
    <mergeCell ref="D960:G960"/>
    <mergeCell ref="D964:G964"/>
    <mergeCell ref="D968:G968"/>
    <mergeCell ref="D970:G970"/>
    <mergeCell ref="D937:G937"/>
    <mergeCell ref="D941:G941"/>
    <mergeCell ref="D944:G944"/>
    <mergeCell ref="D947:G947"/>
    <mergeCell ref="D949:G949"/>
    <mergeCell ref="D954:G954"/>
    <mergeCell ref="D913:G913"/>
    <mergeCell ref="D919:G919"/>
    <mergeCell ref="D924:G924"/>
    <mergeCell ref="D926:G926"/>
    <mergeCell ref="D927:G927"/>
    <mergeCell ref="D931:G931"/>
    <mergeCell ref="D881:G881"/>
    <mergeCell ref="D883:G883"/>
    <mergeCell ref="D886:G886"/>
    <mergeCell ref="D889:G889"/>
    <mergeCell ref="D900:G900"/>
    <mergeCell ref="D908:G908"/>
    <mergeCell ref="D813:G813"/>
    <mergeCell ref="D831:G831"/>
    <mergeCell ref="D843:G843"/>
    <mergeCell ref="D845:G845"/>
    <mergeCell ref="D854:G854"/>
    <mergeCell ref="D875:G875"/>
    <mergeCell ref="D725:G725"/>
    <mergeCell ref="D727:G727"/>
    <mergeCell ref="D770:G770"/>
    <mergeCell ref="D779:G779"/>
    <mergeCell ref="D782:G782"/>
    <mergeCell ref="D800:G800"/>
    <mergeCell ref="D695:G695"/>
    <mergeCell ref="D700:G700"/>
    <mergeCell ref="D702:G702"/>
    <mergeCell ref="D710:G710"/>
    <mergeCell ref="D711:G711"/>
    <mergeCell ref="D721:G721"/>
    <mergeCell ref="D619:G619"/>
    <mergeCell ref="D631:G631"/>
    <mergeCell ref="D648:G648"/>
    <mergeCell ref="D664:G664"/>
    <mergeCell ref="D687:G687"/>
    <mergeCell ref="D689:G689"/>
    <mergeCell ref="D468:G468"/>
    <mergeCell ref="D480:G480"/>
    <mergeCell ref="D503:G503"/>
    <mergeCell ref="D544:G544"/>
    <mergeCell ref="D556:G556"/>
    <mergeCell ref="D583:G583"/>
    <mergeCell ref="D356:G356"/>
    <mergeCell ref="D388:G388"/>
    <mergeCell ref="D390:G390"/>
    <mergeCell ref="D392:G392"/>
    <mergeCell ref="D394:G394"/>
    <mergeCell ref="D397:G397"/>
    <mergeCell ref="D207:G207"/>
    <mergeCell ref="D286:G286"/>
    <mergeCell ref="D292:G292"/>
    <mergeCell ref="D312:G312"/>
    <mergeCell ref="D328:G328"/>
    <mergeCell ref="D348:G348"/>
    <mergeCell ref="D42:G42"/>
    <mergeCell ref="D45:G45"/>
    <mergeCell ref="D80:G80"/>
    <mergeCell ref="D133:G133"/>
    <mergeCell ref="D166:G166"/>
    <mergeCell ref="D203:G203"/>
    <mergeCell ref="H10:J10"/>
    <mergeCell ref="K10:L10"/>
    <mergeCell ref="D12:G12"/>
    <mergeCell ref="D13:G13"/>
    <mergeCell ref="D20:G20"/>
    <mergeCell ref="D34:G34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PageLayoutView="0" workbookViewId="0" topLeftCell="A85">
      <selection activeCell="A109" sqref="A109:G109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35" t="s">
        <v>1779</v>
      </c>
      <c r="B1" s="36"/>
      <c r="C1" s="36"/>
      <c r="D1" s="36"/>
      <c r="E1" s="36"/>
      <c r="F1" s="36"/>
      <c r="G1" s="36"/>
    </row>
    <row r="2" spans="1:8" ht="12.75">
      <c r="A2" s="37" t="s">
        <v>1</v>
      </c>
      <c r="B2" s="41" t="s">
        <v>768</v>
      </c>
      <c r="C2" s="57"/>
      <c r="D2" s="44" t="s">
        <v>1656</v>
      </c>
      <c r="E2" s="44" t="s">
        <v>1661</v>
      </c>
      <c r="F2" s="38"/>
      <c r="G2" s="45"/>
      <c r="H2" s="12"/>
    </row>
    <row r="3" spans="1:8" ht="12.75">
      <c r="A3" s="39"/>
      <c r="B3" s="42"/>
      <c r="C3" s="42"/>
      <c r="D3" s="40"/>
      <c r="E3" s="40"/>
      <c r="F3" s="40"/>
      <c r="G3" s="46"/>
      <c r="H3" s="12"/>
    </row>
    <row r="4" spans="1:8" ht="12.75">
      <c r="A4" s="47" t="s">
        <v>2</v>
      </c>
      <c r="B4" s="48" t="s">
        <v>769</v>
      </c>
      <c r="C4" s="40"/>
      <c r="D4" s="48" t="s">
        <v>1657</v>
      </c>
      <c r="E4" s="48"/>
      <c r="F4" s="40"/>
      <c r="G4" s="46"/>
      <c r="H4" s="12"/>
    </row>
    <row r="5" spans="1:8" ht="12.75">
      <c r="A5" s="39"/>
      <c r="B5" s="40"/>
      <c r="C5" s="40"/>
      <c r="D5" s="40"/>
      <c r="E5" s="40"/>
      <c r="F5" s="40"/>
      <c r="G5" s="46"/>
      <c r="H5" s="12"/>
    </row>
    <row r="6" spans="1:8" ht="12.75">
      <c r="A6" s="47" t="s">
        <v>3</v>
      </c>
      <c r="B6" s="48" t="s">
        <v>770</v>
      </c>
      <c r="C6" s="40"/>
      <c r="D6" s="48" t="s">
        <v>1658</v>
      </c>
      <c r="E6" s="48"/>
      <c r="F6" s="40"/>
      <c r="G6" s="46"/>
      <c r="H6" s="12"/>
    </row>
    <row r="7" spans="1:8" ht="12.75">
      <c r="A7" s="39"/>
      <c r="B7" s="40"/>
      <c r="C7" s="40"/>
      <c r="D7" s="40"/>
      <c r="E7" s="40"/>
      <c r="F7" s="40"/>
      <c r="G7" s="46"/>
      <c r="H7" s="12"/>
    </row>
    <row r="8" spans="1:8" ht="12.75">
      <c r="A8" s="47" t="s">
        <v>1659</v>
      </c>
      <c r="B8" s="48" t="s">
        <v>1662</v>
      </c>
      <c r="C8" s="40"/>
      <c r="D8" s="49" t="s">
        <v>1637</v>
      </c>
      <c r="E8" s="52">
        <v>42830</v>
      </c>
      <c r="F8" s="40"/>
      <c r="G8" s="46"/>
      <c r="H8" s="12"/>
    </row>
    <row r="9" spans="1:8" ht="13.5" thickBot="1">
      <c r="A9" s="50"/>
      <c r="B9" s="51"/>
      <c r="C9" s="51"/>
      <c r="D9" s="51"/>
      <c r="E9" s="51"/>
      <c r="F9" s="51"/>
      <c r="G9" s="53"/>
      <c r="H9" s="12"/>
    </row>
    <row r="10" spans="1:8" ht="12.75">
      <c r="A10" s="120" t="s">
        <v>405</v>
      </c>
      <c r="B10" s="1" t="s">
        <v>415</v>
      </c>
      <c r="C10" s="3" t="s">
        <v>771</v>
      </c>
      <c r="D10" s="4" t="s">
        <v>1780</v>
      </c>
      <c r="E10" s="4" t="s">
        <v>1781</v>
      </c>
      <c r="F10" s="4" t="s">
        <v>1782</v>
      </c>
      <c r="G10" s="7" t="s">
        <v>1783</v>
      </c>
      <c r="H10" s="13"/>
    </row>
    <row r="11" spans="1:9" ht="12.75">
      <c r="A11" s="124" t="s">
        <v>406</v>
      </c>
      <c r="B11" s="124"/>
      <c r="C11" s="124" t="s">
        <v>773</v>
      </c>
      <c r="D11" s="125">
        <f>'Stavební rozpočet'!H12</f>
        <v>0</v>
      </c>
      <c r="E11" s="125">
        <f>'Stavební rozpočet'!I12</f>
        <v>0</v>
      </c>
      <c r="F11" s="125">
        <f aca="true" t="shared" si="0" ref="F11:F42">D11+E11</f>
        <v>0</v>
      </c>
      <c r="G11" s="125">
        <f>'Stavební rozpočet'!L12</f>
        <v>324.8701841000001</v>
      </c>
      <c r="H11" s="14" t="s">
        <v>1784</v>
      </c>
      <c r="I11" s="14">
        <f aca="true" t="shared" si="1" ref="I11:I42">IF(H11="F",0,F11)</f>
        <v>0</v>
      </c>
    </row>
    <row r="12" spans="1:9" ht="12.75">
      <c r="A12" s="121" t="s">
        <v>406</v>
      </c>
      <c r="B12" s="121" t="s">
        <v>18</v>
      </c>
      <c r="C12" s="121" t="s">
        <v>774</v>
      </c>
      <c r="D12" s="122">
        <f>'Stavební rozpočet'!H13</f>
        <v>0</v>
      </c>
      <c r="E12" s="122">
        <f>'Stavební rozpočet'!I13</f>
        <v>0</v>
      </c>
      <c r="F12" s="122">
        <f t="shared" si="0"/>
        <v>0</v>
      </c>
      <c r="G12" s="122">
        <f>'Stavební rozpočet'!L13</f>
        <v>0</v>
      </c>
      <c r="H12" s="14" t="s">
        <v>1785</v>
      </c>
      <c r="I12" s="14">
        <f t="shared" si="1"/>
        <v>0</v>
      </c>
    </row>
    <row r="13" spans="1:9" ht="12.75">
      <c r="A13" s="121" t="s">
        <v>406</v>
      </c>
      <c r="B13" s="121" t="s">
        <v>19</v>
      </c>
      <c r="C13" s="121" t="s">
        <v>781</v>
      </c>
      <c r="D13" s="122">
        <f>'Stavební rozpočet'!H20</f>
        <v>0</v>
      </c>
      <c r="E13" s="122">
        <f>'Stavební rozpočet'!I20</f>
        <v>0</v>
      </c>
      <c r="F13" s="122">
        <f t="shared" si="0"/>
        <v>0</v>
      </c>
      <c r="G13" s="122">
        <f>'Stavební rozpočet'!L20</f>
        <v>0</v>
      </c>
      <c r="H13" s="14" t="s">
        <v>1785</v>
      </c>
      <c r="I13" s="14">
        <f t="shared" si="1"/>
        <v>0</v>
      </c>
    </row>
    <row r="14" spans="1:9" ht="12.75">
      <c r="A14" s="121" t="s">
        <v>406</v>
      </c>
      <c r="B14" s="121" t="s">
        <v>22</v>
      </c>
      <c r="C14" s="121" t="s">
        <v>795</v>
      </c>
      <c r="D14" s="122">
        <f>'Stavební rozpočet'!H34</f>
        <v>0</v>
      </c>
      <c r="E14" s="122">
        <f>'Stavební rozpočet'!I34</f>
        <v>0</v>
      </c>
      <c r="F14" s="122">
        <f t="shared" si="0"/>
        <v>0</v>
      </c>
      <c r="G14" s="122">
        <f>'Stavební rozpočet'!L34</f>
        <v>0</v>
      </c>
      <c r="H14" s="14" t="s">
        <v>1785</v>
      </c>
      <c r="I14" s="14">
        <f t="shared" si="1"/>
        <v>0</v>
      </c>
    </row>
    <row r="15" spans="1:9" ht="12.75">
      <c r="A15" s="121" t="s">
        <v>406</v>
      </c>
      <c r="B15" s="121" t="s">
        <v>23</v>
      </c>
      <c r="C15" s="121" t="s">
        <v>803</v>
      </c>
      <c r="D15" s="122">
        <f>'Stavební rozpočet'!H42</f>
        <v>0</v>
      </c>
      <c r="E15" s="122">
        <f>'Stavební rozpočet'!I42</f>
        <v>0</v>
      </c>
      <c r="F15" s="122">
        <f t="shared" si="0"/>
        <v>0</v>
      </c>
      <c r="G15" s="122">
        <f>'Stavební rozpočet'!L42</f>
        <v>0</v>
      </c>
      <c r="H15" s="14" t="s">
        <v>1785</v>
      </c>
      <c r="I15" s="14">
        <f t="shared" si="1"/>
        <v>0</v>
      </c>
    </row>
    <row r="16" spans="1:9" ht="12.75">
      <c r="A16" s="121" t="s">
        <v>406</v>
      </c>
      <c r="B16" s="121" t="s">
        <v>33</v>
      </c>
      <c r="C16" s="121" t="s">
        <v>806</v>
      </c>
      <c r="D16" s="122">
        <f>'Stavební rozpočet'!H45</f>
        <v>0</v>
      </c>
      <c r="E16" s="122">
        <f>'Stavební rozpočet'!I45</f>
        <v>0</v>
      </c>
      <c r="F16" s="122">
        <f t="shared" si="0"/>
        <v>0</v>
      </c>
      <c r="G16" s="122">
        <f>'Stavební rozpočet'!L45</f>
        <v>140.2275676</v>
      </c>
      <c r="H16" s="14" t="s">
        <v>1785</v>
      </c>
      <c r="I16" s="14">
        <f t="shared" si="1"/>
        <v>0</v>
      </c>
    </row>
    <row r="17" spans="1:9" ht="12.75">
      <c r="A17" s="121" t="s">
        <v>406</v>
      </c>
      <c r="B17" s="121" t="s">
        <v>37</v>
      </c>
      <c r="C17" s="121" t="s">
        <v>840</v>
      </c>
      <c r="D17" s="122">
        <f>'Stavební rozpočet'!H80</f>
        <v>0</v>
      </c>
      <c r="E17" s="122">
        <f>'Stavební rozpočet'!I80</f>
        <v>0</v>
      </c>
      <c r="F17" s="122">
        <f t="shared" si="0"/>
        <v>0</v>
      </c>
      <c r="G17" s="122">
        <f>'Stavební rozpočet'!L80</f>
        <v>93.87660170000001</v>
      </c>
      <c r="H17" s="14" t="s">
        <v>1785</v>
      </c>
      <c r="I17" s="14">
        <f t="shared" si="1"/>
        <v>0</v>
      </c>
    </row>
    <row r="18" spans="1:9" ht="12.75">
      <c r="A18" s="121" t="s">
        <v>406</v>
      </c>
      <c r="B18" s="121" t="s">
        <v>40</v>
      </c>
      <c r="C18" s="121" t="s">
        <v>886</v>
      </c>
      <c r="D18" s="122">
        <f>'Stavební rozpočet'!H133</f>
        <v>0</v>
      </c>
      <c r="E18" s="122">
        <f>'Stavební rozpočet'!I133</f>
        <v>0</v>
      </c>
      <c r="F18" s="122">
        <f t="shared" si="0"/>
        <v>0</v>
      </c>
      <c r="G18" s="122">
        <f>'Stavební rozpočet'!L133</f>
        <v>19.677378800000003</v>
      </c>
      <c r="H18" s="14" t="s">
        <v>1785</v>
      </c>
      <c r="I18" s="14">
        <f t="shared" si="1"/>
        <v>0</v>
      </c>
    </row>
    <row r="19" spans="1:9" ht="12.75">
      <c r="A19" s="121" t="s">
        <v>406</v>
      </c>
      <c r="B19" s="121" t="s">
        <v>47</v>
      </c>
      <c r="C19" s="121" t="s">
        <v>915</v>
      </c>
      <c r="D19" s="122">
        <f>'Stavební rozpočet'!H166</f>
        <v>0</v>
      </c>
      <c r="E19" s="122">
        <f>'Stavební rozpočet'!I166</f>
        <v>0</v>
      </c>
      <c r="F19" s="122">
        <f t="shared" si="0"/>
        <v>0</v>
      </c>
      <c r="G19" s="122">
        <f>'Stavební rozpočet'!L166</f>
        <v>20.7456015</v>
      </c>
      <c r="H19" s="14" t="s">
        <v>1785</v>
      </c>
      <c r="I19" s="14">
        <f t="shared" si="1"/>
        <v>0</v>
      </c>
    </row>
    <row r="20" spans="1:9" ht="12.75">
      <c r="A20" s="121" t="s">
        <v>406</v>
      </c>
      <c r="B20" s="121" t="s">
        <v>49</v>
      </c>
      <c r="C20" s="121" t="s">
        <v>951</v>
      </c>
      <c r="D20" s="122">
        <f>'Stavební rozpočet'!H203</f>
        <v>0</v>
      </c>
      <c r="E20" s="122">
        <f>'Stavební rozpočet'!I203</f>
        <v>0</v>
      </c>
      <c r="F20" s="122">
        <f t="shared" si="0"/>
        <v>0</v>
      </c>
      <c r="G20" s="122">
        <f>'Stavební rozpočet'!L203</f>
        <v>0</v>
      </c>
      <c r="H20" s="14" t="s">
        <v>1785</v>
      </c>
      <c r="I20" s="14">
        <f t="shared" si="1"/>
        <v>0</v>
      </c>
    </row>
    <row r="21" spans="1:9" ht="12.75">
      <c r="A21" s="121" t="s">
        <v>406</v>
      </c>
      <c r="B21" s="121" t="s">
        <v>67</v>
      </c>
      <c r="C21" s="121" t="s">
        <v>955</v>
      </c>
      <c r="D21" s="122">
        <f>'Stavební rozpočet'!H207</f>
        <v>0</v>
      </c>
      <c r="E21" s="122">
        <f>'Stavební rozpočet'!I207</f>
        <v>0</v>
      </c>
      <c r="F21" s="122">
        <f t="shared" si="0"/>
        <v>0</v>
      </c>
      <c r="G21" s="122">
        <f>'Stavební rozpočet'!L207</f>
        <v>4.895058100000001</v>
      </c>
      <c r="H21" s="14" t="s">
        <v>1785</v>
      </c>
      <c r="I21" s="14">
        <f t="shared" si="1"/>
        <v>0</v>
      </c>
    </row>
    <row r="22" spans="1:9" ht="12.75">
      <c r="A22" s="121" t="s">
        <v>406</v>
      </c>
      <c r="B22" s="121" t="s">
        <v>68</v>
      </c>
      <c r="C22" s="121" t="s">
        <v>1008</v>
      </c>
      <c r="D22" s="122">
        <f>'Stavební rozpočet'!H286</f>
        <v>0</v>
      </c>
      <c r="E22" s="122">
        <f>'Stavební rozpočet'!I286</f>
        <v>0</v>
      </c>
      <c r="F22" s="122">
        <f t="shared" si="0"/>
        <v>0</v>
      </c>
      <c r="G22" s="122">
        <f>'Stavební rozpočet'!L286</f>
        <v>0.013075199999999999</v>
      </c>
      <c r="H22" s="14" t="s">
        <v>1785</v>
      </c>
      <c r="I22" s="14">
        <f t="shared" si="1"/>
        <v>0</v>
      </c>
    </row>
    <row r="23" spans="1:9" ht="12.75">
      <c r="A23" s="121" t="s">
        <v>406</v>
      </c>
      <c r="B23" s="121" t="s">
        <v>69</v>
      </c>
      <c r="C23" s="121" t="s">
        <v>1013</v>
      </c>
      <c r="D23" s="122">
        <f>'Stavební rozpočet'!H292</f>
        <v>0</v>
      </c>
      <c r="E23" s="122">
        <f>'Stavební rozpočet'!I292</f>
        <v>0</v>
      </c>
      <c r="F23" s="122">
        <f t="shared" si="0"/>
        <v>0</v>
      </c>
      <c r="G23" s="122">
        <f>'Stavební rozpočet'!L292</f>
        <v>22.712479000000002</v>
      </c>
      <c r="H23" s="14" t="s">
        <v>1785</v>
      </c>
      <c r="I23" s="14">
        <f t="shared" si="1"/>
        <v>0</v>
      </c>
    </row>
    <row r="24" spans="1:9" ht="12.75">
      <c r="A24" s="121" t="s">
        <v>406</v>
      </c>
      <c r="B24" s="121" t="s">
        <v>70</v>
      </c>
      <c r="C24" s="121" t="s">
        <v>1033</v>
      </c>
      <c r="D24" s="122">
        <f>'Stavební rozpočet'!H312</f>
        <v>0</v>
      </c>
      <c r="E24" s="122">
        <f>'Stavební rozpočet'!I312</f>
        <v>0</v>
      </c>
      <c r="F24" s="122">
        <f t="shared" si="0"/>
        <v>0</v>
      </c>
      <c r="G24" s="122">
        <f>'Stavební rozpočet'!L312</f>
        <v>0.098243</v>
      </c>
      <c r="H24" s="14" t="s">
        <v>1785</v>
      </c>
      <c r="I24" s="14">
        <f t="shared" si="1"/>
        <v>0</v>
      </c>
    </row>
    <row r="25" spans="1:9" ht="12.75">
      <c r="A25" s="121" t="s">
        <v>406</v>
      </c>
      <c r="B25" s="121" t="s">
        <v>493</v>
      </c>
      <c r="C25" s="121" t="s">
        <v>1047</v>
      </c>
      <c r="D25" s="122">
        <f>'Stavební rozpočet'!H328</f>
        <v>0</v>
      </c>
      <c r="E25" s="122">
        <f>'Stavební rozpočet'!I328</f>
        <v>0</v>
      </c>
      <c r="F25" s="122">
        <f t="shared" si="0"/>
        <v>0</v>
      </c>
      <c r="G25" s="122">
        <f>'Stavební rozpočet'!L328</f>
        <v>1.1219995999999999</v>
      </c>
      <c r="H25" s="14" t="s">
        <v>1785</v>
      </c>
      <c r="I25" s="14">
        <f t="shared" si="1"/>
        <v>0</v>
      </c>
    </row>
    <row r="26" spans="1:9" ht="12.75">
      <c r="A26" s="121" t="s">
        <v>406</v>
      </c>
      <c r="B26" s="121" t="s">
        <v>502</v>
      </c>
      <c r="C26" s="121" t="s">
        <v>1064</v>
      </c>
      <c r="D26" s="122">
        <f>'Stavební rozpočet'!H348</f>
        <v>0</v>
      </c>
      <c r="E26" s="122">
        <f>'Stavební rozpočet'!I348</f>
        <v>0</v>
      </c>
      <c r="F26" s="122">
        <f t="shared" si="0"/>
        <v>0</v>
      </c>
      <c r="G26" s="122">
        <f>'Stavební rozpočet'!L348</f>
        <v>0.055106300000000004</v>
      </c>
      <c r="H26" s="14" t="s">
        <v>1785</v>
      </c>
      <c r="I26" s="14">
        <f t="shared" si="1"/>
        <v>0</v>
      </c>
    </row>
    <row r="27" spans="1:9" ht="12.75">
      <c r="A27" s="121" t="s">
        <v>406</v>
      </c>
      <c r="B27" s="121" t="s">
        <v>506</v>
      </c>
      <c r="C27" s="121" t="s">
        <v>1072</v>
      </c>
      <c r="D27" s="122">
        <f>'Stavební rozpočet'!H356</f>
        <v>0</v>
      </c>
      <c r="E27" s="122">
        <f>'Stavební rozpočet'!I356</f>
        <v>0</v>
      </c>
      <c r="F27" s="122">
        <f t="shared" si="0"/>
        <v>0</v>
      </c>
      <c r="G27" s="122">
        <f>'Stavební rozpočet'!L356</f>
        <v>0.5272979999999999</v>
      </c>
      <c r="H27" s="14" t="s">
        <v>1785</v>
      </c>
      <c r="I27" s="14">
        <f t="shared" si="1"/>
        <v>0</v>
      </c>
    </row>
    <row r="28" spans="1:9" ht="12.75">
      <c r="A28" s="121" t="s">
        <v>406</v>
      </c>
      <c r="B28" s="121" t="s">
        <v>524</v>
      </c>
      <c r="C28" s="121" t="s">
        <v>1102</v>
      </c>
      <c r="D28" s="122">
        <f>'Stavební rozpočet'!H388</f>
        <v>0</v>
      </c>
      <c r="E28" s="122">
        <f>'Stavební rozpočet'!I388</f>
        <v>0</v>
      </c>
      <c r="F28" s="122">
        <f t="shared" si="0"/>
        <v>0</v>
      </c>
      <c r="G28" s="122">
        <f>'Stavební rozpočet'!L388</f>
        <v>0.3032</v>
      </c>
      <c r="H28" s="14" t="s">
        <v>1785</v>
      </c>
      <c r="I28" s="14">
        <f t="shared" si="1"/>
        <v>0</v>
      </c>
    </row>
    <row r="29" spans="1:9" ht="12.75">
      <c r="A29" s="121" t="s">
        <v>406</v>
      </c>
      <c r="B29" s="121" t="s">
        <v>526</v>
      </c>
      <c r="C29" s="121" t="s">
        <v>1104</v>
      </c>
      <c r="D29" s="122">
        <f>'Stavební rozpočet'!H390</f>
        <v>0</v>
      </c>
      <c r="E29" s="122">
        <f>'Stavební rozpočet'!I390</f>
        <v>0</v>
      </c>
      <c r="F29" s="122">
        <f t="shared" si="0"/>
        <v>0</v>
      </c>
      <c r="G29" s="122">
        <f>'Stavební rozpočet'!L390</f>
        <v>0</v>
      </c>
      <c r="H29" s="14" t="s">
        <v>1785</v>
      </c>
      <c r="I29" s="14">
        <f t="shared" si="1"/>
        <v>0</v>
      </c>
    </row>
    <row r="30" spans="1:9" ht="12.75">
      <c r="A30" s="121" t="s">
        <v>406</v>
      </c>
      <c r="B30" s="121" t="s">
        <v>528</v>
      </c>
      <c r="C30" s="121" t="s">
        <v>1106</v>
      </c>
      <c r="D30" s="122">
        <f>'Stavební rozpočet'!H392</f>
        <v>0</v>
      </c>
      <c r="E30" s="122">
        <f>'Stavební rozpočet'!I392</f>
        <v>0</v>
      </c>
      <c r="F30" s="122">
        <f t="shared" si="0"/>
        <v>0</v>
      </c>
      <c r="G30" s="122">
        <f>'Stavební rozpočet'!L392</f>
        <v>0</v>
      </c>
      <c r="H30" s="14" t="s">
        <v>1785</v>
      </c>
      <c r="I30" s="14">
        <f t="shared" si="1"/>
        <v>0</v>
      </c>
    </row>
    <row r="31" spans="1:9" ht="12.75">
      <c r="A31" s="121" t="s">
        <v>406</v>
      </c>
      <c r="B31" s="121" t="s">
        <v>81</v>
      </c>
      <c r="C31" s="121" t="s">
        <v>1108</v>
      </c>
      <c r="D31" s="122">
        <f>'Stavební rozpočet'!H394</f>
        <v>0</v>
      </c>
      <c r="E31" s="122">
        <f>'Stavební rozpočet'!I394</f>
        <v>0</v>
      </c>
      <c r="F31" s="122">
        <f t="shared" si="0"/>
        <v>0</v>
      </c>
      <c r="G31" s="122">
        <f>'Stavební rozpočet'!L394</f>
        <v>0</v>
      </c>
      <c r="H31" s="14" t="s">
        <v>1785</v>
      </c>
      <c r="I31" s="14">
        <f t="shared" si="1"/>
        <v>0</v>
      </c>
    </row>
    <row r="32" spans="1:9" ht="12.75">
      <c r="A32" s="121" t="s">
        <v>406</v>
      </c>
      <c r="B32" s="121" t="s">
        <v>532</v>
      </c>
      <c r="C32" s="121" t="s">
        <v>1111</v>
      </c>
      <c r="D32" s="122">
        <f>'Stavební rozpočet'!H397</f>
        <v>0</v>
      </c>
      <c r="E32" s="122">
        <f>'Stavební rozpočet'!I397</f>
        <v>0</v>
      </c>
      <c r="F32" s="122">
        <f t="shared" si="0"/>
        <v>0</v>
      </c>
      <c r="G32" s="122">
        <f>'Stavební rozpočet'!L397</f>
        <v>6.040820300000002</v>
      </c>
      <c r="H32" s="14" t="s">
        <v>1785</v>
      </c>
      <c r="I32" s="14">
        <f t="shared" si="1"/>
        <v>0</v>
      </c>
    </row>
    <row r="33" spans="1:9" ht="12.75">
      <c r="A33" s="121" t="s">
        <v>406</v>
      </c>
      <c r="B33" s="121" t="s">
        <v>560</v>
      </c>
      <c r="C33" s="121" t="s">
        <v>1174</v>
      </c>
      <c r="D33" s="122">
        <f>'Stavební rozpočet'!H468</f>
        <v>0</v>
      </c>
      <c r="E33" s="122">
        <f>'Stavební rozpočet'!I468</f>
        <v>0</v>
      </c>
      <c r="F33" s="122">
        <f t="shared" si="0"/>
        <v>0</v>
      </c>
      <c r="G33" s="122">
        <f>'Stavební rozpočet'!L468</f>
        <v>0.20478419999999997</v>
      </c>
      <c r="H33" s="14" t="s">
        <v>1785</v>
      </c>
      <c r="I33" s="14">
        <f t="shared" si="1"/>
        <v>0</v>
      </c>
    </row>
    <row r="34" spans="1:9" ht="12.75">
      <c r="A34" s="121" t="s">
        <v>406</v>
      </c>
      <c r="B34" s="121" t="s">
        <v>570</v>
      </c>
      <c r="C34" s="121" t="s">
        <v>1185</v>
      </c>
      <c r="D34" s="122">
        <f>'Stavební rozpočet'!H480</f>
        <v>0</v>
      </c>
      <c r="E34" s="122">
        <f>'Stavební rozpočet'!I480</f>
        <v>0</v>
      </c>
      <c r="F34" s="122">
        <f t="shared" si="0"/>
        <v>0</v>
      </c>
      <c r="G34" s="122">
        <f>'Stavební rozpočet'!L480</f>
        <v>6.405873299999999</v>
      </c>
      <c r="H34" s="14" t="s">
        <v>1785</v>
      </c>
      <c r="I34" s="14">
        <f t="shared" si="1"/>
        <v>0</v>
      </c>
    </row>
    <row r="35" spans="1:9" ht="12.75">
      <c r="A35" s="121" t="s">
        <v>406</v>
      </c>
      <c r="B35" s="121" t="s">
        <v>586</v>
      </c>
      <c r="C35" s="121" t="s">
        <v>1207</v>
      </c>
      <c r="D35" s="122">
        <f>'Stavební rozpočet'!H503</f>
        <v>0</v>
      </c>
      <c r="E35" s="122">
        <f>'Stavební rozpočet'!I503</f>
        <v>0</v>
      </c>
      <c r="F35" s="122">
        <f t="shared" si="0"/>
        <v>0</v>
      </c>
      <c r="G35" s="122">
        <f>'Stavební rozpočet'!L503</f>
        <v>0.5539486</v>
      </c>
      <c r="H35" s="14" t="s">
        <v>1785</v>
      </c>
      <c r="I35" s="14">
        <f t="shared" si="1"/>
        <v>0</v>
      </c>
    </row>
    <row r="36" spans="1:9" ht="12.75">
      <c r="A36" s="121" t="s">
        <v>406</v>
      </c>
      <c r="B36" s="121" t="s">
        <v>615</v>
      </c>
      <c r="C36" s="121" t="s">
        <v>1244</v>
      </c>
      <c r="D36" s="122">
        <f>'Stavební rozpočet'!H544</f>
        <v>0</v>
      </c>
      <c r="E36" s="122">
        <f>'Stavební rozpočet'!I544</f>
        <v>0</v>
      </c>
      <c r="F36" s="122">
        <f t="shared" si="0"/>
        <v>0</v>
      </c>
      <c r="G36" s="122">
        <f>'Stavební rozpočet'!L544</f>
        <v>0</v>
      </c>
      <c r="H36" s="14" t="s">
        <v>1785</v>
      </c>
      <c r="I36" s="14">
        <f t="shared" si="1"/>
        <v>0</v>
      </c>
    </row>
    <row r="37" spans="1:9" ht="12.75">
      <c r="A37" s="121" t="s">
        <v>406</v>
      </c>
      <c r="B37" s="121" t="s">
        <v>625</v>
      </c>
      <c r="C37" s="121" t="s">
        <v>1255</v>
      </c>
      <c r="D37" s="122">
        <f>'Stavební rozpočet'!H556</f>
        <v>0</v>
      </c>
      <c r="E37" s="122">
        <f>'Stavební rozpočet'!I556</f>
        <v>0</v>
      </c>
      <c r="F37" s="122">
        <f t="shared" si="0"/>
        <v>0</v>
      </c>
      <c r="G37" s="122">
        <f>'Stavební rozpočet'!L556</f>
        <v>0.5325291999999999</v>
      </c>
      <c r="H37" s="14" t="s">
        <v>1785</v>
      </c>
      <c r="I37" s="14">
        <f t="shared" si="1"/>
        <v>0</v>
      </c>
    </row>
    <row r="38" spans="1:9" ht="12.75">
      <c r="A38" s="121" t="s">
        <v>406</v>
      </c>
      <c r="B38" s="121" t="s">
        <v>636</v>
      </c>
      <c r="C38" s="121" t="s">
        <v>1278</v>
      </c>
      <c r="D38" s="122">
        <f>'Stavební rozpočet'!H583</f>
        <v>0</v>
      </c>
      <c r="E38" s="122">
        <f>'Stavební rozpočet'!I583</f>
        <v>0</v>
      </c>
      <c r="F38" s="122">
        <f t="shared" si="0"/>
        <v>0</v>
      </c>
      <c r="G38" s="122">
        <f>'Stavební rozpočet'!L583</f>
        <v>0</v>
      </c>
      <c r="H38" s="14" t="s">
        <v>1785</v>
      </c>
      <c r="I38" s="14">
        <f t="shared" si="1"/>
        <v>0</v>
      </c>
    </row>
    <row r="39" spans="1:9" ht="12.75">
      <c r="A39" s="121" t="s">
        <v>406</v>
      </c>
      <c r="B39" s="121" t="s">
        <v>638</v>
      </c>
      <c r="C39" s="121" t="s">
        <v>1303</v>
      </c>
      <c r="D39" s="122">
        <f>'Stavební rozpočet'!H619</f>
        <v>0</v>
      </c>
      <c r="E39" s="122">
        <f>'Stavební rozpočet'!I619</f>
        <v>0</v>
      </c>
      <c r="F39" s="122">
        <f t="shared" si="0"/>
        <v>0</v>
      </c>
      <c r="G39" s="122">
        <f>'Stavební rozpočet'!L619</f>
        <v>0.5104</v>
      </c>
      <c r="H39" s="14" t="s">
        <v>1785</v>
      </c>
      <c r="I39" s="14">
        <f t="shared" si="1"/>
        <v>0</v>
      </c>
    </row>
    <row r="40" spans="1:9" ht="12.75">
      <c r="A40" s="121" t="s">
        <v>406</v>
      </c>
      <c r="B40" s="121" t="s">
        <v>640</v>
      </c>
      <c r="C40" s="121" t="s">
        <v>1312</v>
      </c>
      <c r="D40" s="122">
        <f>'Stavební rozpočet'!H631</f>
        <v>0</v>
      </c>
      <c r="E40" s="122">
        <f>'Stavební rozpočet'!I631</f>
        <v>0</v>
      </c>
      <c r="F40" s="122">
        <f t="shared" si="0"/>
        <v>0</v>
      </c>
      <c r="G40" s="122">
        <f>'Stavební rozpočet'!L631</f>
        <v>0.6687266000000001</v>
      </c>
      <c r="H40" s="14" t="s">
        <v>1785</v>
      </c>
      <c r="I40" s="14">
        <f t="shared" si="1"/>
        <v>0</v>
      </c>
    </row>
    <row r="41" spans="1:9" ht="12.75">
      <c r="A41" s="121" t="s">
        <v>406</v>
      </c>
      <c r="B41" s="121" t="s">
        <v>648</v>
      </c>
      <c r="C41" s="121" t="s">
        <v>1326</v>
      </c>
      <c r="D41" s="122">
        <f>'Stavební rozpočet'!H648</f>
        <v>0</v>
      </c>
      <c r="E41" s="122">
        <f>'Stavební rozpočet'!I648</f>
        <v>0</v>
      </c>
      <c r="F41" s="122">
        <f t="shared" si="0"/>
        <v>0</v>
      </c>
      <c r="G41" s="122">
        <f>'Stavební rozpočet'!L648</f>
        <v>0.07273429999999999</v>
      </c>
      <c r="H41" s="14" t="s">
        <v>1785</v>
      </c>
      <c r="I41" s="14">
        <f t="shared" si="1"/>
        <v>0</v>
      </c>
    </row>
    <row r="42" spans="1:9" ht="12.75">
      <c r="A42" s="121" t="s">
        <v>406</v>
      </c>
      <c r="B42" s="121" t="s">
        <v>652</v>
      </c>
      <c r="C42" s="121" t="s">
        <v>1342</v>
      </c>
      <c r="D42" s="122">
        <f>'Stavební rozpočet'!H664</f>
        <v>0</v>
      </c>
      <c r="E42" s="122">
        <f>'Stavební rozpočet'!I664</f>
        <v>0</v>
      </c>
      <c r="F42" s="122">
        <f t="shared" si="0"/>
        <v>0</v>
      </c>
      <c r="G42" s="122">
        <f>'Stavební rozpočet'!L664</f>
        <v>0.3350655</v>
      </c>
      <c r="H42" s="14" t="s">
        <v>1785</v>
      </c>
      <c r="I42" s="14">
        <f t="shared" si="1"/>
        <v>0</v>
      </c>
    </row>
    <row r="43" spans="1:9" ht="12.75">
      <c r="A43" s="121" t="s">
        <v>406</v>
      </c>
      <c r="B43" s="121" t="s">
        <v>655</v>
      </c>
      <c r="C43" s="121" t="s">
        <v>1364</v>
      </c>
      <c r="D43" s="122">
        <f>'Stavební rozpočet'!H687</f>
        <v>0</v>
      </c>
      <c r="E43" s="122">
        <f>'Stavební rozpočet'!I687</f>
        <v>0</v>
      </c>
      <c r="F43" s="122">
        <f aca="true" t="shared" si="2" ref="F43:F74">D43+E43</f>
        <v>0</v>
      </c>
      <c r="G43" s="122">
        <f>'Stavební rozpočet'!L687</f>
        <v>0.0244</v>
      </c>
      <c r="H43" s="14" t="s">
        <v>1785</v>
      </c>
      <c r="I43" s="14">
        <f aca="true" t="shared" si="3" ref="I43:I74">IF(H43="F",0,F43)</f>
        <v>0</v>
      </c>
    </row>
    <row r="44" spans="1:9" ht="12.75">
      <c r="A44" s="121" t="s">
        <v>406</v>
      </c>
      <c r="B44" s="121" t="s">
        <v>100</v>
      </c>
      <c r="C44" s="121" t="s">
        <v>1366</v>
      </c>
      <c r="D44" s="122">
        <f>'Stavební rozpočet'!H689</f>
        <v>0</v>
      </c>
      <c r="E44" s="122">
        <f>'Stavební rozpočet'!I689</f>
        <v>0</v>
      </c>
      <c r="F44" s="122">
        <f t="shared" si="2"/>
        <v>0</v>
      </c>
      <c r="G44" s="122">
        <f>'Stavební rozpočet'!L689</f>
        <v>5.207472</v>
      </c>
      <c r="H44" s="14" t="s">
        <v>1785</v>
      </c>
      <c r="I44" s="14">
        <f t="shared" si="3"/>
        <v>0</v>
      </c>
    </row>
    <row r="45" spans="1:9" ht="12.75">
      <c r="A45" s="121" t="s">
        <v>406</v>
      </c>
      <c r="B45" s="121" t="s">
        <v>101</v>
      </c>
      <c r="C45" s="121" t="s">
        <v>1372</v>
      </c>
      <c r="D45" s="122">
        <f>'Stavební rozpočet'!H695</f>
        <v>0</v>
      </c>
      <c r="E45" s="122">
        <f>'Stavební rozpočet'!I695</f>
        <v>0</v>
      </c>
      <c r="F45" s="122">
        <f t="shared" si="2"/>
        <v>0</v>
      </c>
      <c r="G45" s="122">
        <f>'Stavební rozpočet'!L695</f>
        <v>0.007978800000000001</v>
      </c>
      <c r="H45" s="14" t="s">
        <v>1785</v>
      </c>
      <c r="I45" s="14">
        <f t="shared" si="3"/>
        <v>0</v>
      </c>
    </row>
    <row r="46" spans="1:9" ht="12.75">
      <c r="A46" s="121" t="s">
        <v>406</v>
      </c>
      <c r="B46" s="121" t="s">
        <v>663</v>
      </c>
      <c r="C46" s="121" t="s">
        <v>1377</v>
      </c>
      <c r="D46" s="122">
        <f>'Stavební rozpočet'!H700</f>
        <v>0</v>
      </c>
      <c r="E46" s="122">
        <f>'Stavební rozpočet'!I700</f>
        <v>0</v>
      </c>
      <c r="F46" s="122">
        <f t="shared" si="2"/>
        <v>0</v>
      </c>
      <c r="G46" s="122">
        <f>'Stavební rozpočet'!L700</f>
        <v>0</v>
      </c>
      <c r="H46" s="14" t="s">
        <v>1785</v>
      </c>
      <c r="I46" s="14">
        <f t="shared" si="3"/>
        <v>0</v>
      </c>
    </row>
    <row r="47" spans="1:9" ht="12.75">
      <c r="A47" s="121" t="s">
        <v>406</v>
      </c>
      <c r="B47" s="121" t="s">
        <v>665</v>
      </c>
      <c r="C47" s="121" t="s">
        <v>1379</v>
      </c>
      <c r="D47" s="122">
        <f>'Stavební rozpočet'!H702</f>
        <v>0</v>
      </c>
      <c r="E47" s="122">
        <f>'Stavební rozpočet'!I702</f>
        <v>0</v>
      </c>
      <c r="F47" s="122">
        <f t="shared" si="2"/>
        <v>0</v>
      </c>
      <c r="G47" s="122">
        <f>'Stavební rozpočet'!L702</f>
        <v>0.0518425</v>
      </c>
      <c r="H47" s="14" t="s">
        <v>1785</v>
      </c>
      <c r="I47" s="14">
        <f t="shared" si="3"/>
        <v>0</v>
      </c>
    </row>
    <row r="48" spans="1:9" ht="12.75">
      <c r="A48" s="124" t="s">
        <v>407</v>
      </c>
      <c r="B48" s="124"/>
      <c r="C48" s="124" t="s">
        <v>1386</v>
      </c>
      <c r="D48" s="125">
        <f>'Stavební rozpočet'!H710</f>
        <v>0</v>
      </c>
      <c r="E48" s="125">
        <f>'Stavební rozpočet'!I710</f>
        <v>0</v>
      </c>
      <c r="F48" s="125">
        <f t="shared" si="2"/>
        <v>0</v>
      </c>
      <c r="G48" s="125">
        <f>'Stavební rozpočet'!L710</f>
        <v>175.18487369999997</v>
      </c>
      <c r="H48" s="14" t="s">
        <v>1784</v>
      </c>
      <c r="I48" s="14">
        <f t="shared" si="3"/>
        <v>0</v>
      </c>
    </row>
    <row r="49" spans="1:9" ht="12.75">
      <c r="A49" s="121" t="s">
        <v>407</v>
      </c>
      <c r="B49" s="121" t="s">
        <v>19</v>
      </c>
      <c r="C49" s="121" t="s">
        <v>781</v>
      </c>
      <c r="D49" s="122">
        <f>'Stavební rozpočet'!H711</f>
        <v>0</v>
      </c>
      <c r="E49" s="122">
        <f>'Stavební rozpočet'!I711</f>
        <v>0</v>
      </c>
      <c r="F49" s="122">
        <f t="shared" si="2"/>
        <v>0</v>
      </c>
      <c r="G49" s="122">
        <f>'Stavební rozpočet'!L711</f>
        <v>0</v>
      </c>
      <c r="H49" s="14" t="s">
        <v>1785</v>
      </c>
      <c r="I49" s="14">
        <f t="shared" si="3"/>
        <v>0</v>
      </c>
    </row>
    <row r="50" spans="1:9" ht="12.75">
      <c r="A50" s="121" t="s">
        <v>407</v>
      </c>
      <c r="B50" s="121" t="s">
        <v>22</v>
      </c>
      <c r="C50" s="121" t="s">
        <v>795</v>
      </c>
      <c r="D50" s="122">
        <f>'Stavební rozpočet'!H721</f>
        <v>0</v>
      </c>
      <c r="E50" s="122">
        <f>'Stavební rozpočet'!I721</f>
        <v>0</v>
      </c>
      <c r="F50" s="122">
        <f t="shared" si="2"/>
        <v>0</v>
      </c>
      <c r="G50" s="122">
        <f>'Stavební rozpočet'!L721</f>
        <v>0</v>
      </c>
      <c r="H50" s="14" t="s">
        <v>1785</v>
      </c>
      <c r="I50" s="14">
        <f t="shared" si="3"/>
        <v>0</v>
      </c>
    </row>
    <row r="51" spans="1:9" ht="12.75">
      <c r="A51" s="121" t="s">
        <v>407</v>
      </c>
      <c r="B51" s="121" t="s">
        <v>23</v>
      </c>
      <c r="C51" s="121" t="s">
        <v>803</v>
      </c>
      <c r="D51" s="122">
        <f>'Stavební rozpočet'!H725</f>
        <v>0</v>
      </c>
      <c r="E51" s="122">
        <f>'Stavební rozpočet'!I725</f>
        <v>0</v>
      </c>
      <c r="F51" s="122">
        <f t="shared" si="2"/>
        <v>0</v>
      </c>
      <c r="G51" s="122">
        <f>'Stavební rozpočet'!L725</f>
        <v>0</v>
      </c>
      <c r="H51" s="14" t="s">
        <v>1785</v>
      </c>
      <c r="I51" s="14">
        <f t="shared" si="3"/>
        <v>0</v>
      </c>
    </row>
    <row r="52" spans="1:9" ht="12.75">
      <c r="A52" s="121" t="s">
        <v>407</v>
      </c>
      <c r="B52" s="121" t="s">
        <v>33</v>
      </c>
      <c r="C52" s="121" t="s">
        <v>806</v>
      </c>
      <c r="D52" s="122">
        <f>'Stavební rozpočet'!H727</f>
        <v>0</v>
      </c>
      <c r="E52" s="122">
        <f>'Stavební rozpočet'!I727</f>
        <v>0</v>
      </c>
      <c r="F52" s="122">
        <f t="shared" si="2"/>
        <v>0</v>
      </c>
      <c r="G52" s="122">
        <f>'Stavební rozpočet'!L727</f>
        <v>117.74640959999998</v>
      </c>
      <c r="H52" s="14" t="s">
        <v>1785</v>
      </c>
      <c r="I52" s="14">
        <f t="shared" si="3"/>
        <v>0</v>
      </c>
    </row>
    <row r="53" spans="1:9" ht="12.75">
      <c r="A53" s="121" t="s">
        <v>407</v>
      </c>
      <c r="B53" s="121" t="s">
        <v>37</v>
      </c>
      <c r="C53" s="121" t="s">
        <v>840</v>
      </c>
      <c r="D53" s="122">
        <f>'Stavební rozpočet'!H770</f>
        <v>0</v>
      </c>
      <c r="E53" s="122">
        <f>'Stavební rozpočet'!I770</f>
        <v>0</v>
      </c>
      <c r="F53" s="122">
        <f t="shared" si="2"/>
        <v>0</v>
      </c>
      <c r="G53" s="122">
        <f>'Stavební rozpočet'!L770</f>
        <v>27.497544700000002</v>
      </c>
      <c r="H53" s="14" t="s">
        <v>1785</v>
      </c>
      <c r="I53" s="14">
        <f t="shared" si="3"/>
        <v>0</v>
      </c>
    </row>
    <row r="54" spans="1:9" ht="12.75">
      <c r="A54" s="121" t="s">
        <v>407</v>
      </c>
      <c r="B54" s="121" t="s">
        <v>40</v>
      </c>
      <c r="C54" s="121" t="s">
        <v>886</v>
      </c>
      <c r="D54" s="122">
        <f>'Stavební rozpočet'!H779</f>
        <v>0</v>
      </c>
      <c r="E54" s="122">
        <f>'Stavební rozpočet'!I779</f>
        <v>0</v>
      </c>
      <c r="F54" s="122">
        <f t="shared" si="2"/>
        <v>0</v>
      </c>
      <c r="G54" s="122">
        <f>'Stavební rozpočet'!L779</f>
        <v>2.0816500000000002</v>
      </c>
      <c r="H54" s="14" t="s">
        <v>1785</v>
      </c>
      <c r="I54" s="14">
        <f t="shared" si="3"/>
        <v>0</v>
      </c>
    </row>
    <row r="55" spans="1:9" ht="12.75">
      <c r="A55" s="121" t="s">
        <v>407</v>
      </c>
      <c r="B55" s="121" t="s">
        <v>47</v>
      </c>
      <c r="C55" s="121" t="s">
        <v>915</v>
      </c>
      <c r="D55" s="122">
        <f>'Stavební rozpočet'!H782</f>
        <v>0</v>
      </c>
      <c r="E55" s="122">
        <f>'Stavební rozpočet'!I782</f>
        <v>0</v>
      </c>
      <c r="F55" s="122">
        <f t="shared" si="2"/>
        <v>0</v>
      </c>
      <c r="G55" s="122">
        <f>'Stavební rozpočet'!L782</f>
        <v>7.978250899999999</v>
      </c>
      <c r="H55" s="14" t="s">
        <v>1785</v>
      </c>
      <c r="I55" s="14">
        <f t="shared" si="3"/>
        <v>0</v>
      </c>
    </row>
    <row r="56" spans="1:9" ht="12.75">
      <c r="A56" s="121" t="s">
        <v>407</v>
      </c>
      <c r="B56" s="121" t="s">
        <v>67</v>
      </c>
      <c r="C56" s="121" t="s">
        <v>955</v>
      </c>
      <c r="D56" s="122">
        <f>'Stavební rozpočet'!H800</f>
        <v>0</v>
      </c>
      <c r="E56" s="122">
        <f>'Stavební rozpočet'!I800</f>
        <v>0</v>
      </c>
      <c r="F56" s="122">
        <f t="shared" si="2"/>
        <v>0</v>
      </c>
      <c r="G56" s="122">
        <f>'Stavební rozpočet'!L800</f>
        <v>1.1431482000000002</v>
      </c>
      <c r="H56" s="14" t="s">
        <v>1785</v>
      </c>
      <c r="I56" s="14">
        <f t="shared" si="3"/>
        <v>0</v>
      </c>
    </row>
    <row r="57" spans="1:9" ht="12.75">
      <c r="A57" s="121" t="s">
        <v>407</v>
      </c>
      <c r="B57" s="121" t="s">
        <v>68</v>
      </c>
      <c r="C57" s="121" t="s">
        <v>1008</v>
      </c>
      <c r="D57" s="122">
        <f>'Stavební rozpočet'!H813</f>
        <v>0</v>
      </c>
      <c r="E57" s="122">
        <f>'Stavební rozpočet'!I813</f>
        <v>0</v>
      </c>
      <c r="F57" s="122">
        <f t="shared" si="2"/>
        <v>0</v>
      </c>
      <c r="G57" s="122">
        <f>'Stavební rozpočet'!L813</f>
        <v>0.7508111000000001</v>
      </c>
      <c r="H57" s="14" t="s">
        <v>1785</v>
      </c>
      <c r="I57" s="14">
        <f t="shared" si="3"/>
        <v>0</v>
      </c>
    </row>
    <row r="58" spans="1:9" ht="12.75">
      <c r="A58" s="121" t="s">
        <v>407</v>
      </c>
      <c r="B58" s="121" t="s">
        <v>69</v>
      </c>
      <c r="C58" s="121" t="s">
        <v>1013</v>
      </c>
      <c r="D58" s="122">
        <f>'Stavební rozpočet'!H831</f>
        <v>0</v>
      </c>
      <c r="E58" s="122">
        <f>'Stavební rozpočet'!I831</f>
        <v>0</v>
      </c>
      <c r="F58" s="122">
        <f t="shared" si="2"/>
        <v>0</v>
      </c>
      <c r="G58" s="122">
        <f>'Stavební rozpočet'!L831</f>
        <v>16.0925625</v>
      </c>
      <c r="H58" s="14" t="s">
        <v>1785</v>
      </c>
      <c r="I58" s="14">
        <f t="shared" si="3"/>
        <v>0</v>
      </c>
    </row>
    <row r="59" spans="1:9" ht="12.75">
      <c r="A59" s="121" t="s">
        <v>407</v>
      </c>
      <c r="B59" s="121" t="s">
        <v>70</v>
      </c>
      <c r="C59" s="121" t="s">
        <v>1033</v>
      </c>
      <c r="D59" s="122">
        <f>'Stavební rozpočet'!H843</f>
        <v>0</v>
      </c>
      <c r="E59" s="122">
        <f>'Stavební rozpočet'!I843</f>
        <v>0</v>
      </c>
      <c r="F59" s="122">
        <f t="shared" si="2"/>
        <v>0</v>
      </c>
      <c r="G59" s="122">
        <f>'Stavební rozpočet'!L843</f>
        <v>0.006315</v>
      </c>
      <c r="H59" s="14" t="s">
        <v>1785</v>
      </c>
      <c r="I59" s="14">
        <f t="shared" si="3"/>
        <v>0</v>
      </c>
    </row>
    <row r="60" spans="1:9" ht="12.75">
      <c r="A60" s="121" t="s">
        <v>407</v>
      </c>
      <c r="B60" s="121" t="s">
        <v>493</v>
      </c>
      <c r="C60" s="121" t="s">
        <v>1047</v>
      </c>
      <c r="D60" s="122">
        <f>'Stavební rozpočet'!H845</f>
        <v>0</v>
      </c>
      <c r="E60" s="122">
        <f>'Stavební rozpočet'!I845</f>
        <v>0</v>
      </c>
      <c r="F60" s="122">
        <f t="shared" si="2"/>
        <v>0</v>
      </c>
      <c r="G60" s="122">
        <f>'Stavební rozpočet'!L845</f>
        <v>0.4540425</v>
      </c>
      <c r="H60" s="14" t="s">
        <v>1785</v>
      </c>
      <c r="I60" s="14">
        <f t="shared" si="3"/>
        <v>0</v>
      </c>
    </row>
    <row r="61" spans="1:9" ht="12.75">
      <c r="A61" s="121" t="s">
        <v>407</v>
      </c>
      <c r="B61" s="121" t="s">
        <v>502</v>
      </c>
      <c r="C61" s="121" t="s">
        <v>1064</v>
      </c>
      <c r="D61" s="122">
        <f>'Stavební rozpočet'!H854</f>
        <v>0</v>
      </c>
      <c r="E61" s="122">
        <f>'Stavební rozpočet'!I854</f>
        <v>0</v>
      </c>
      <c r="F61" s="122">
        <f t="shared" si="2"/>
        <v>0</v>
      </c>
      <c r="G61" s="122">
        <f>'Stavební rozpočet'!L854</f>
        <v>0.21824359999999998</v>
      </c>
      <c r="H61" s="14" t="s">
        <v>1785</v>
      </c>
      <c r="I61" s="14">
        <f t="shared" si="3"/>
        <v>0</v>
      </c>
    </row>
    <row r="62" spans="1:9" ht="12.75">
      <c r="A62" s="121" t="s">
        <v>407</v>
      </c>
      <c r="B62" s="121" t="s">
        <v>506</v>
      </c>
      <c r="C62" s="121" t="s">
        <v>1072</v>
      </c>
      <c r="D62" s="122">
        <f>'Stavební rozpočet'!H875</f>
        <v>0</v>
      </c>
      <c r="E62" s="122">
        <f>'Stavební rozpočet'!I875</f>
        <v>0</v>
      </c>
      <c r="F62" s="122">
        <f t="shared" si="2"/>
        <v>0</v>
      </c>
      <c r="G62" s="122">
        <f>'Stavební rozpočet'!L875</f>
        <v>0.0778569</v>
      </c>
      <c r="H62" s="14" t="s">
        <v>1785</v>
      </c>
      <c r="I62" s="14">
        <f t="shared" si="3"/>
        <v>0</v>
      </c>
    </row>
    <row r="63" spans="1:9" ht="12.75">
      <c r="A63" s="121" t="s">
        <v>407</v>
      </c>
      <c r="B63" s="121" t="s">
        <v>81</v>
      </c>
      <c r="C63" s="121" t="s">
        <v>1108</v>
      </c>
      <c r="D63" s="122">
        <f>'Stavební rozpočet'!H881</f>
        <v>0</v>
      </c>
      <c r="E63" s="122">
        <f>'Stavební rozpočet'!I881</f>
        <v>0</v>
      </c>
      <c r="F63" s="122">
        <f t="shared" si="2"/>
        <v>0</v>
      </c>
      <c r="G63" s="122">
        <f>'Stavební rozpočet'!L881</f>
        <v>0</v>
      </c>
      <c r="H63" s="14" t="s">
        <v>1785</v>
      </c>
      <c r="I63" s="14">
        <f t="shared" si="3"/>
        <v>0</v>
      </c>
    </row>
    <row r="64" spans="1:9" ht="12.75">
      <c r="A64" s="121" t="s">
        <v>407</v>
      </c>
      <c r="B64" s="121" t="s">
        <v>532</v>
      </c>
      <c r="C64" s="121" t="s">
        <v>1111</v>
      </c>
      <c r="D64" s="122">
        <f>'Stavební rozpočet'!H883</f>
        <v>0</v>
      </c>
      <c r="E64" s="122">
        <f>'Stavební rozpočet'!I883</f>
        <v>0</v>
      </c>
      <c r="F64" s="122">
        <f t="shared" si="2"/>
        <v>0</v>
      </c>
      <c r="G64" s="122">
        <f>'Stavební rozpočet'!L883</f>
        <v>0.0738054</v>
      </c>
      <c r="H64" s="14" t="s">
        <v>1785</v>
      </c>
      <c r="I64" s="14">
        <f t="shared" si="3"/>
        <v>0</v>
      </c>
    </row>
    <row r="65" spans="1:9" ht="12.75">
      <c r="A65" s="121" t="s">
        <v>407</v>
      </c>
      <c r="B65" s="121" t="s">
        <v>560</v>
      </c>
      <c r="C65" s="121" t="s">
        <v>1174</v>
      </c>
      <c r="D65" s="122">
        <f>'Stavební rozpočet'!H886</f>
        <v>0</v>
      </c>
      <c r="E65" s="122">
        <f>'Stavební rozpočet'!I886</f>
        <v>0</v>
      </c>
      <c r="F65" s="122">
        <f t="shared" si="2"/>
        <v>0</v>
      </c>
      <c r="G65" s="122">
        <f>'Stavební rozpočet'!L886</f>
        <v>0.00213</v>
      </c>
      <c r="H65" s="14" t="s">
        <v>1785</v>
      </c>
      <c r="I65" s="14">
        <f t="shared" si="3"/>
        <v>0</v>
      </c>
    </row>
    <row r="66" spans="1:9" ht="12.75">
      <c r="A66" s="121" t="s">
        <v>407</v>
      </c>
      <c r="B66" s="121" t="s">
        <v>586</v>
      </c>
      <c r="C66" s="121" t="s">
        <v>1207</v>
      </c>
      <c r="D66" s="122">
        <f>'Stavební rozpočet'!H889</f>
        <v>0</v>
      </c>
      <c r="E66" s="122">
        <f>'Stavební rozpočet'!I889</f>
        <v>0</v>
      </c>
      <c r="F66" s="122">
        <f t="shared" si="2"/>
        <v>0</v>
      </c>
      <c r="G66" s="122">
        <f>'Stavební rozpočet'!L889</f>
        <v>0.7352406</v>
      </c>
      <c r="H66" s="14" t="s">
        <v>1785</v>
      </c>
      <c r="I66" s="14">
        <f t="shared" si="3"/>
        <v>0</v>
      </c>
    </row>
    <row r="67" spans="1:9" ht="12.75">
      <c r="A67" s="121" t="s">
        <v>407</v>
      </c>
      <c r="B67" s="121" t="s">
        <v>615</v>
      </c>
      <c r="C67" s="121" t="s">
        <v>1244</v>
      </c>
      <c r="D67" s="122">
        <f>'Stavební rozpočet'!H900</f>
        <v>0</v>
      </c>
      <c r="E67" s="122">
        <f>'Stavební rozpočet'!I900</f>
        <v>0</v>
      </c>
      <c r="F67" s="122">
        <f t="shared" si="2"/>
        <v>0</v>
      </c>
      <c r="G67" s="122">
        <f>'Stavební rozpočet'!L900</f>
        <v>0.03175</v>
      </c>
      <c r="H67" s="14" t="s">
        <v>1785</v>
      </c>
      <c r="I67" s="14">
        <f t="shared" si="3"/>
        <v>0</v>
      </c>
    </row>
    <row r="68" spans="1:9" ht="12.75">
      <c r="A68" s="121" t="s">
        <v>407</v>
      </c>
      <c r="B68" s="121" t="s">
        <v>706</v>
      </c>
      <c r="C68" s="121" t="s">
        <v>1508</v>
      </c>
      <c r="D68" s="122">
        <f>'Stavební rozpočet'!H908</f>
        <v>0</v>
      </c>
      <c r="E68" s="122">
        <f>'Stavební rozpočet'!I908</f>
        <v>0</v>
      </c>
      <c r="F68" s="122">
        <f t="shared" si="2"/>
        <v>0</v>
      </c>
      <c r="G68" s="122">
        <f>'Stavební rozpočet'!L908</f>
        <v>0.23113519999999999</v>
      </c>
      <c r="H68" s="14" t="s">
        <v>1785</v>
      </c>
      <c r="I68" s="14">
        <f t="shared" si="3"/>
        <v>0</v>
      </c>
    </row>
    <row r="69" spans="1:9" ht="12.75">
      <c r="A69" s="121" t="s">
        <v>407</v>
      </c>
      <c r="B69" s="121" t="s">
        <v>652</v>
      </c>
      <c r="C69" s="121" t="s">
        <v>1342</v>
      </c>
      <c r="D69" s="122">
        <f>'Stavební rozpočet'!H913</f>
        <v>0</v>
      </c>
      <c r="E69" s="122">
        <f>'Stavební rozpočet'!I913</f>
        <v>0</v>
      </c>
      <c r="F69" s="122">
        <f t="shared" si="2"/>
        <v>0</v>
      </c>
      <c r="G69" s="122">
        <f>'Stavební rozpočet'!L913</f>
        <v>0.0635375</v>
      </c>
      <c r="H69" s="14" t="s">
        <v>1785</v>
      </c>
      <c r="I69" s="14">
        <f t="shared" si="3"/>
        <v>0</v>
      </c>
    </row>
    <row r="70" spans="1:9" ht="12.75">
      <c r="A70" s="121" t="s">
        <v>407</v>
      </c>
      <c r="B70" s="121" t="s">
        <v>101</v>
      </c>
      <c r="C70" s="121" t="s">
        <v>1372</v>
      </c>
      <c r="D70" s="122">
        <f>'Stavební rozpočet'!H919</f>
        <v>0</v>
      </c>
      <c r="E70" s="122">
        <f>'Stavební rozpočet'!I919</f>
        <v>0</v>
      </c>
      <c r="F70" s="122">
        <f t="shared" si="2"/>
        <v>0</v>
      </c>
      <c r="G70" s="122">
        <f>'Stavební rozpočet'!L919</f>
        <v>0.00044</v>
      </c>
      <c r="H70" s="14" t="s">
        <v>1785</v>
      </c>
      <c r="I70" s="14">
        <f t="shared" si="3"/>
        <v>0</v>
      </c>
    </row>
    <row r="71" spans="1:9" ht="12.75">
      <c r="A71" s="121" t="s">
        <v>407</v>
      </c>
      <c r="B71" s="121" t="s">
        <v>663</v>
      </c>
      <c r="C71" s="121" t="s">
        <v>1377</v>
      </c>
      <c r="D71" s="122">
        <f>'Stavební rozpočet'!H924</f>
        <v>0</v>
      </c>
      <c r="E71" s="122">
        <f>'Stavební rozpočet'!I924</f>
        <v>0</v>
      </c>
      <c r="F71" s="122">
        <f t="shared" si="2"/>
        <v>0</v>
      </c>
      <c r="G71" s="122">
        <f>'Stavební rozpočet'!L924</f>
        <v>0</v>
      </c>
      <c r="H71" s="14" t="s">
        <v>1785</v>
      </c>
      <c r="I71" s="14">
        <f t="shared" si="3"/>
        <v>0</v>
      </c>
    </row>
    <row r="72" spans="1:9" ht="12.75">
      <c r="A72" s="124" t="s">
        <v>408</v>
      </c>
      <c r="B72" s="124"/>
      <c r="C72" s="124" t="s">
        <v>1518</v>
      </c>
      <c r="D72" s="125">
        <f>'Stavební rozpočet'!H926</f>
        <v>0</v>
      </c>
      <c r="E72" s="125">
        <f>'Stavební rozpočet'!I926</f>
        <v>0</v>
      </c>
      <c r="F72" s="125">
        <f t="shared" si="2"/>
        <v>0</v>
      </c>
      <c r="G72" s="125">
        <f>'Stavební rozpočet'!L926</f>
        <v>28.6745805</v>
      </c>
      <c r="H72" s="14" t="s">
        <v>1784</v>
      </c>
      <c r="I72" s="14">
        <f t="shared" si="3"/>
        <v>0</v>
      </c>
    </row>
    <row r="73" spans="1:9" ht="12.75">
      <c r="A73" s="121" t="s">
        <v>408</v>
      </c>
      <c r="B73" s="121" t="s">
        <v>19</v>
      </c>
      <c r="C73" s="121" t="s">
        <v>781</v>
      </c>
      <c r="D73" s="122">
        <f>'Stavební rozpočet'!H927</f>
        <v>0</v>
      </c>
      <c r="E73" s="122">
        <f>'Stavební rozpočet'!I927</f>
        <v>0</v>
      </c>
      <c r="F73" s="122">
        <f t="shared" si="2"/>
        <v>0</v>
      </c>
      <c r="G73" s="122">
        <f>'Stavební rozpočet'!L927</f>
        <v>0</v>
      </c>
      <c r="H73" s="14" t="s">
        <v>1785</v>
      </c>
      <c r="I73" s="14">
        <f t="shared" si="3"/>
        <v>0</v>
      </c>
    </row>
    <row r="74" spans="1:9" ht="12.75">
      <c r="A74" s="121" t="s">
        <v>408</v>
      </c>
      <c r="B74" s="121" t="s">
        <v>22</v>
      </c>
      <c r="C74" s="121" t="s">
        <v>795</v>
      </c>
      <c r="D74" s="122">
        <f>'Stavební rozpočet'!H931</f>
        <v>0</v>
      </c>
      <c r="E74" s="122">
        <f>'Stavební rozpočet'!I931</f>
        <v>0</v>
      </c>
      <c r="F74" s="122">
        <f t="shared" si="2"/>
        <v>0</v>
      </c>
      <c r="G74" s="122">
        <f>'Stavební rozpočet'!L931</f>
        <v>0</v>
      </c>
      <c r="H74" s="14" t="s">
        <v>1785</v>
      </c>
      <c r="I74" s="14">
        <f t="shared" si="3"/>
        <v>0</v>
      </c>
    </row>
    <row r="75" spans="1:9" ht="12.75">
      <c r="A75" s="121" t="s">
        <v>408</v>
      </c>
      <c r="B75" s="121" t="s">
        <v>23</v>
      </c>
      <c r="C75" s="121" t="s">
        <v>803</v>
      </c>
      <c r="D75" s="122">
        <f>'Stavební rozpočet'!H937</f>
        <v>0</v>
      </c>
      <c r="E75" s="122">
        <f>'Stavební rozpočet'!I937</f>
        <v>0</v>
      </c>
      <c r="F75" s="122">
        <f aca="true" t="shared" si="4" ref="F75:F106">D75+E75</f>
        <v>0</v>
      </c>
      <c r="G75" s="122">
        <f>'Stavební rozpočet'!L937</f>
        <v>0</v>
      </c>
      <c r="H75" s="14" t="s">
        <v>1785</v>
      </c>
      <c r="I75" s="14">
        <f aca="true" t="shared" si="5" ref="I75:I106">IF(H75="F",0,F75)</f>
        <v>0</v>
      </c>
    </row>
    <row r="76" spans="1:9" ht="12.75">
      <c r="A76" s="121" t="s">
        <v>408</v>
      </c>
      <c r="B76" s="121" t="s">
        <v>24</v>
      </c>
      <c r="C76" s="121" t="s">
        <v>1527</v>
      </c>
      <c r="D76" s="122">
        <f>'Stavební rozpočet'!H941</f>
        <v>0</v>
      </c>
      <c r="E76" s="122">
        <f>'Stavební rozpočet'!I941</f>
        <v>0</v>
      </c>
      <c r="F76" s="122">
        <f t="shared" si="4"/>
        <v>0</v>
      </c>
      <c r="G76" s="122">
        <f>'Stavební rozpočet'!L941</f>
        <v>0</v>
      </c>
      <c r="H76" s="14" t="s">
        <v>1785</v>
      </c>
      <c r="I76" s="14">
        <f t="shared" si="5"/>
        <v>0</v>
      </c>
    </row>
    <row r="77" spans="1:9" ht="12.75">
      <c r="A77" s="121" t="s">
        <v>408</v>
      </c>
      <c r="B77" s="121" t="s">
        <v>33</v>
      </c>
      <c r="C77" s="121" t="s">
        <v>806</v>
      </c>
      <c r="D77" s="122">
        <f>'Stavební rozpočet'!H944</f>
        <v>0</v>
      </c>
      <c r="E77" s="122">
        <f>'Stavební rozpočet'!I944</f>
        <v>0</v>
      </c>
      <c r="F77" s="122">
        <f t="shared" si="4"/>
        <v>0</v>
      </c>
      <c r="G77" s="122">
        <f>'Stavební rozpočet'!L944</f>
        <v>18.887</v>
      </c>
      <c r="H77" s="14" t="s">
        <v>1785</v>
      </c>
      <c r="I77" s="14">
        <f t="shared" si="5"/>
        <v>0</v>
      </c>
    </row>
    <row r="78" spans="1:9" ht="12.75">
      <c r="A78" s="121" t="s">
        <v>408</v>
      </c>
      <c r="B78" s="121" t="s">
        <v>37</v>
      </c>
      <c r="C78" s="121" t="s">
        <v>840</v>
      </c>
      <c r="D78" s="122">
        <f>'Stavební rozpočet'!H947</f>
        <v>0</v>
      </c>
      <c r="E78" s="122">
        <f>'Stavební rozpočet'!I947</f>
        <v>0</v>
      </c>
      <c r="F78" s="122">
        <f t="shared" si="4"/>
        <v>0</v>
      </c>
      <c r="G78" s="122">
        <f>'Stavební rozpočet'!L947</f>
        <v>0.1734493</v>
      </c>
      <c r="H78" s="14" t="s">
        <v>1785</v>
      </c>
      <c r="I78" s="14">
        <f t="shared" si="5"/>
        <v>0</v>
      </c>
    </row>
    <row r="79" spans="1:9" ht="12.75">
      <c r="A79" s="121" t="s">
        <v>408</v>
      </c>
      <c r="B79" s="121" t="s">
        <v>40</v>
      </c>
      <c r="C79" s="121" t="s">
        <v>886</v>
      </c>
      <c r="D79" s="122">
        <f>'Stavební rozpočet'!H949</f>
        <v>0</v>
      </c>
      <c r="E79" s="122">
        <f>'Stavební rozpočet'!I949</f>
        <v>0</v>
      </c>
      <c r="F79" s="122">
        <f t="shared" si="4"/>
        <v>0</v>
      </c>
      <c r="G79" s="122">
        <f>'Stavební rozpočet'!L949</f>
        <v>9.609066599999998</v>
      </c>
      <c r="H79" s="14" t="s">
        <v>1785</v>
      </c>
      <c r="I79" s="14">
        <f t="shared" si="5"/>
        <v>0</v>
      </c>
    </row>
    <row r="80" spans="1:9" ht="12.75">
      <c r="A80" s="121" t="s">
        <v>408</v>
      </c>
      <c r="B80" s="121" t="s">
        <v>493</v>
      </c>
      <c r="C80" s="121" t="s">
        <v>1047</v>
      </c>
      <c r="D80" s="122">
        <f>'Stavební rozpočet'!H954</f>
        <v>0</v>
      </c>
      <c r="E80" s="122">
        <f>'Stavební rozpočet'!I954</f>
        <v>0</v>
      </c>
      <c r="F80" s="122">
        <f t="shared" si="4"/>
        <v>0</v>
      </c>
      <c r="G80" s="122">
        <f>'Stavební rozpočet'!L954</f>
        <v>0.0050646</v>
      </c>
      <c r="H80" s="14" t="s">
        <v>1785</v>
      </c>
      <c r="I80" s="14">
        <f t="shared" si="5"/>
        <v>0</v>
      </c>
    </row>
    <row r="81" spans="1:9" ht="12.75">
      <c r="A81" s="121" t="s">
        <v>408</v>
      </c>
      <c r="B81" s="121" t="s">
        <v>720</v>
      </c>
      <c r="C81" s="121" t="s">
        <v>1538</v>
      </c>
      <c r="D81" s="122">
        <f>'Stavební rozpočet'!H957</f>
        <v>0</v>
      </c>
      <c r="E81" s="122">
        <f>'Stavební rozpočet'!I957</f>
        <v>0</v>
      </c>
      <c r="F81" s="122">
        <f t="shared" si="4"/>
        <v>0</v>
      </c>
      <c r="G81" s="122">
        <f>'Stavební rozpočet'!L957</f>
        <v>0</v>
      </c>
      <c r="H81" s="14" t="s">
        <v>1785</v>
      </c>
      <c r="I81" s="14">
        <f t="shared" si="5"/>
        <v>0</v>
      </c>
    </row>
    <row r="82" spans="1:9" ht="12.75">
      <c r="A82" s="124" t="s">
        <v>409</v>
      </c>
      <c r="B82" s="124"/>
      <c r="C82" s="124" t="s">
        <v>1540</v>
      </c>
      <c r="D82" s="125">
        <f>'Stavební rozpočet'!H959</f>
        <v>0</v>
      </c>
      <c r="E82" s="125">
        <f>'Stavební rozpočet'!I959</f>
        <v>0</v>
      </c>
      <c r="F82" s="125">
        <f t="shared" si="4"/>
        <v>0</v>
      </c>
      <c r="G82" s="125">
        <f>'Stavební rozpočet'!L959</f>
        <v>121.354079</v>
      </c>
      <c r="H82" s="14" t="s">
        <v>1784</v>
      </c>
      <c r="I82" s="14">
        <f t="shared" si="5"/>
        <v>0</v>
      </c>
    </row>
    <row r="83" spans="1:9" ht="12.75">
      <c r="A83" s="121" t="s">
        <v>409</v>
      </c>
      <c r="B83" s="121" t="s">
        <v>18</v>
      </c>
      <c r="C83" s="121" t="s">
        <v>774</v>
      </c>
      <c r="D83" s="122">
        <f>'Stavební rozpočet'!H960</f>
        <v>0</v>
      </c>
      <c r="E83" s="122">
        <f>'Stavební rozpočet'!I960</f>
        <v>0</v>
      </c>
      <c r="F83" s="122">
        <f t="shared" si="4"/>
        <v>0</v>
      </c>
      <c r="G83" s="122">
        <f>'Stavební rozpočet'!L960</f>
        <v>0</v>
      </c>
      <c r="H83" s="14" t="s">
        <v>1785</v>
      </c>
      <c r="I83" s="14">
        <f t="shared" si="5"/>
        <v>0</v>
      </c>
    </row>
    <row r="84" spans="1:9" ht="12.75">
      <c r="A84" s="121" t="s">
        <v>409</v>
      </c>
      <c r="B84" s="121" t="s">
        <v>22</v>
      </c>
      <c r="C84" s="121" t="s">
        <v>795</v>
      </c>
      <c r="D84" s="122">
        <f>'Stavební rozpočet'!H964</f>
        <v>0</v>
      </c>
      <c r="E84" s="122">
        <f>'Stavební rozpočet'!I964</f>
        <v>0</v>
      </c>
      <c r="F84" s="122">
        <f t="shared" si="4"/>
        <v>0</v>
      </c>
      <c r="G84" s="122">
        <f>'Stavební rozpočet'!L964</f>
        <v>0</v>
      </c>
      <c r="H84" s="14" t="s">
        <v>1785</v>
      </c>
      <c r="I84" s="14">
        <f t="shared" si="5"/>
        <v>0</v>
      </c>
    </row>
    <row r="85" spans="1:9" ht="12.75">
      <c r="A85" s="121" t="s">
        <v>409</v>
      </c>
      <c r="B85" s="121" t="s">
        <v>23</v>
      </c>
      <c r="C85" s="121" t="s">
        <v>803</v>
      </c>
      <c r="D85" s="122">
        <f>'Stavební rozpočet'!H968</f>
        <v>0</v>
      </c>
      <c r="E85" s="122">
        <f>'Stavební rozpočet'!I968</f>
        <v>0</v>
      </c>
      <c r="F85" s="122">
        <f t="shared" si="4"/>
        <v>0</v>
      </c>
      <c r="G85" s="122">
        <f>'Stavební rozpočet'!L968</f>
        <v>0</v>
      </c>
      <c r="H85" s="14" t="s">
        <v>1785</v>
      </c>
      <c r="I85" s="14">
        <f t="shared" si="5"/>
        <v>0</v>
      </c>
    </row>
    <row r="86" spans="1:9" ht="12.75">
      <c r="A86" s="121" t="s">
        <v>409</v>
      </c>
      <c r="B86" s="121" t="s">
        <v>24</v>
      </c>
      <c r="C86" s="121" t="s">
        <v>1527</v>
      </c>
      <c r="D86" s="122">
        <f>'Stavební rozpočet'!H970</f>
        <v>0</v>
      </c>
      <c r="E86" s="122">
        <f>'Stavební rozpočet'!I970</f>
        <v>0</v>
      </c>
      <c r="F86" s="122">
        <f t="shared" si="4"/>
        <v>0</v>
      </c>
      <c r="G86" s="122">
        <f>'Stavební rozpočet'!L970</f>
        <v>0</v>
      </c>
      <c r="H86" s="14" t="s">
        <v>1785</v>
      </c>
      <c r="I86" s="14">
        <f t="shared" si="5"/>
        <v>0</v>
      </c>
    </row>
    <row r="87" spans="1:9" ht="12.75">
      <c r="A87" s="121" t="s">
        <v>409</v>
      </c>
      <c r="B87" s="121" t="s">
        <v>62</v>
      </c>
      <c r="C87" s="121" t="s">
        <v>1545</v>
      </c>
      <c r="D87" s="122">
        <f>'Stavební rozpočet'!H974</f>
        <v>0</v>
      </c>
      <c r="E87" s="122">
        <f>'Stavební rozpočet'!I974</f>
        <v>0</v>
      </c>
      <c r="F87" s="122">
        <f t="shared" si="4"/>
        <v>0</v>
      </c>
      <c r="G87" s="122">
        <f>'Stavební rozpočet'!L974</f>
        <v>91.6239212</v>
      </c>
      <c r="H87" s="14" t="s">
        <v>1785</v>
      </c>
      <c r="I87" s="14">
        <f t="shared" si="5"/>
        <v>0</v>
      </c>
    </row>
    <row r="88" spans="1:9" ht="12.75">
      <c r="A88" s="121" t="s">
        <v>409</v>
      </c>
      <c r="B88" s="121" t="s">
        <v>65</v>
      </c>
      <c r="C88" s="121" t="s">
        <v>1554</v>
      </c>
      <c r="D88" s="122">
        <f>'Stavební rozpočet'!H983</f>
        <v>0</v>
      </c>
      <c r="E88" s="122">
        <f>'Stavební rozpočet'!I983</f>
        <v>0</v>
      </c>
      <c r="F88" s="122">
        <f t="shared" si="4"/>
        <v>0</v>
      </c>
      <c r="G88" s="122">
        <f>'Stavební rozpočet'!L983</f>
        <v>23.889512</v>
      </c>
      <c r="H88" s="14" t="s">
        <v>1785</v>
      </c>
      <c r="I88" s="14">
        <f t="shared" si="5"/>
        <v>0</v>
      </c>
    </row>
    <row r="89" spans="1:9" ht="12.75">
      <c r="A89" s="121" t="s">
        <v>409</v>
      </c>
      <c r="B89" s="121" t="s">
        <v>97</v>
      </c>
      <c r="C89" s="121" t="s">
        <v>1569</v>
      </c>
      <c r="D89" s="122">
        <f>'Stavební rozpočet'!H999</f>
        <v>0</v>
      </c>
      <c r="E89" s="122">
        <f>'Stavební rozpočet'!I999</f>
        <v>0</v>
      </c>
      <c r="F89" s="122">
        <f t="shared" si="4"/>
        <v>0</v>
      </c>
      <c r="G89" s="122">
        <f>'Stavební rozpočet'!L999</f>
        <v>5.840645800000001</v>
      </c>
      <c r="H89" s="14" t="s">
        <v>1785</v>
      </c>
      <c r="I89" s="14">
        <f t="shared" si="5"/>
        <v>0</v>
      </c>
    </row>
    <row r="90" spans="1:9" ht="12.75">
      <c r="A90" s="121" t="s">
        <v>409</v>
      </c>
      <c r="B90" s="121" t="s">
        <v>733</v>
      </c>
      <c r="C90" s="121" t="s">
        <v>1577</v>
      </c>
      <c r="D90" s="122">
        <f>'Stavební rozpočet'!H1007</f>
        <v>0</v>
      </c>
      <c r="E90" s="122">
        <f>'Stavební rozpočet'!I1007</f>
        <v>0</v>
      </c>
      <c r="F90" s="122">
        <f t="shared" si="4"/>
        <v>0</v>
      </c>
      <c r="G90" s="122">
        <f>'Stavební rozpočet'!L1007</f>
        <v>0</v>
      </c>
      <c r="H90" s="14" t="s">
        <v>1785</v>
      </c>
      <c r="I90" s="14">
        <f t="shared" si="5"/>
        <v>0</v>
      </c>
    </row>
    <row r="91" spans="1:9" ht="12.75">
      <c r="A91" s="124" t="s">
        <v>410</v>
      </c>
      <c r="B91" s="124"/>
      <c r="C91" s="124" t="s">
        <v>1579</v>
      </c>
      <c r="D91" s="125">
        <f>'Stavební rozpočet'!H1009</f>
        <v>0</v>
      </c>
      <c r="E91" s="125">
        <f>'Stavební rozpočet'!I1009</f>
        <v>0</v>
      </c>
      <c r="F91" s="125">
        <f t="shared" si="4"/>
        <v>0</v>
      </c>
      <c r="G91" s="125">
        <f>'Stavební rozpočet'!L1009</f>
        <v>25.0928926</v>
      </c>
      <c r="H91" s="14" t="s">
        <v>1784</v>
      </c>
      <c r="I91" s="14">
        <f t="shared" si="5"/>
        <v>0</v>
      </c>
    </row>
    <row r="92" spans="1:9" ht="12.75">
      <c r="A92" s="121" t="s">
        <v>410</v>
      </c>
      <c r="B92" s="121" t="s">
        <v>19</v>
      </c>
      <c r="C92" s="121" t="s">
        <v>781</v>
      </c>
      <c r="D92" s="122">
        <f>'Stavební rozpočet'!H1010</f>
        <v>0</v>
      </c>
      <c r="E92" s="122">
        <f>'Stavební rozpočet'!I1010</f>
        <v>0</v>
      </c>
      <c r="F92" s="122">
        <f t="shared" si="4"/>
        <v>0</v>
      </c>
      <c r="G92" s="122">
        <f>'Stavební rozpočet'!L1010</f>
        <v>0</v>
      </c>
      <c r="H92" s="14" t="s">
        <v>1785</v>
      </c>
      <c r="I92" s="14">
        <f t="shared" si="5"/>
        <v>0</v>
      </c>
    </row>
    <row r="93" spans="1:9" ht="12.75">
      <c r="A93" s="121" t="s">
        <v>410</v>
      </c>
      <c r="B93" s="121" t="s">
        <v>22</v>
      </c>
      <c r="C93" s="121" t="s">
        <v>795</v>
      </c>
      <c r="D93" s="122">
        <f>'Stavební rozpočet'!H1018</f>
        <v>0</v>
      </c>
      <c r="E93" s="122">
        <f>'Stavební rozpočet'!I1018</f>
        <v>0</v>
      </c>
      <c r="F93" s="122">
        <f t="shared" si="4"/>
        <v>0</v>
      </c>
      <c r="G93" s="122">
        <f>'Stavební rozpočet'!L1018</f>
        <v>0</v>
      </c>
      <c r="H93" s="14" t="s">
        <v>1785</v>
      </c>
      <c r="I93" s="14">
        <f t="shared" si="5"/>
        <v>0</v>
      </c>
    </row>
    <row r="94" spans="1:9" ht="12.75">
      <c r="A94" s="121" t="s">
        <v>410</v>
      </c>
      <c r="B94" s="121" t="s">
        <v>33</v>
      </c>
      <c r="C94" s="121" t="s">
        <v>806</v>
      </c>
      <c r="D94" s="122">
        <f>'Stavební rozpočet'!H1022</f>
        <v>0</v>
      </c>
      <c r="E94" s="122">
        <f>'Stavební rozpočet'!I1022</f>
        <v>0</v>
      </c>
      <c r="F94" s="122">
        <f t="shared" si="4"/>
        <v>0</v>
      </c>
      <c r="G94" s="122">
        <f>'Stavební rozpočet'!L1022</f>
        <v>14.3925</v>
      </c>
      <c r="H94" s="14" t="s">
        <v>1785</v>
      </c>
      <c r="I94" s="14">
        <f t="shared" si="5"/>
        <v>0</v>
      </c>
    </row>
    <row r="95" spans="1:9" ht="12.75">
      <c r="A95" s="121" t="s">
        <v>410</v>
      </c>
      <c r="B95" s="121" t="s">
        <v>37</v>
      </c>
      <c r="C95" s="121" t="s">
        <v>840</v>
      </c>
      <c r="D95" s="122">
        <f>'Stavební rozpočet'!H1026</f>
        <v>0</v>
      </c>
      <c r="E95" s="122">
        <f>'Stavební rozpočet'!I1026</f>
        <v>0</v>
      </c>
      <c r="F95" s="122">
        <f t="shared" si="4"/>
        <v>0</v>
      </c>
      <c r="G95" s="122">
        <f>'Stavební rozpočet'!L1026</f>
        <v>7.3014277</v>
      </c>
      <c r="H95" s="14" t="s">
        <v>1785</v>
      </c>
      <c r="I95" s="14">
        <f t="shared" si="5"/>
        <v>0</v>
      </c>
    </row>
    <row r="96" spans="1:9" ht="12.75">
      <c r="A96" s="121" t="s">
        <v>410</v>
      </c>
      <c r="B96" s="121" t="s">
        <v>39</v>
      </c>
      <c r="C96" s="121" t="s">
        <v>1596</v>
      </c>
      <c r="D96" s="122">
        <f>'Stavební rozpočet'!H1037</f>
        <v>0</v>
      </c>
      <c r="E96" s="122">
        <f>'Stavební rozpočet'!I1037</f>
        <v>0</v>
      </c>
      <c r="F96" s="122">
        <f t="shared" si="4"/>
        <v>0</v>
      </c>
      <c r="G96" s="122">
        <f>'Stavební rozpočet'!L1037</f>
        <v>3.3989649</v>
      </c>
      <c r="H96" s="14" t="s">
        <v>1785</v>
      </c>
      <c r="I96" s="14">
        <f t="shared" si="5"/>
        <v>0</v>
      </c>
    </row>
    <row r="97" spans="1:9" ht="12.75">
      <c r="A97" s="121" t="s">
        <v>410</v>
      </c>
      <c r="B97" s="121" t="s">
        <v>615</v>
      </c>
      <c r="C97" s="121" t="s">
        <v>1244</v>
      </c>
      <c r="D97" s="122">
        <f>'Stavební rozpočet'!H1049</f>
        <v>0</v>
      </c>
      <c r="E97" s="122">
        <f>'Stavební rozpočet'!I1049</f>
        <v>0</v>
      </c>
      <c r="F97" s="122">
        <f t="shared" si="4"/>
        <v>0</v>
      </c>
      <c r="G97" s="122">
        <f>'Stavební rozpočet'!L1049</f>
        <v>0</v>
      </c>
      <c r="H97" s="14" t="s">
        <v>1785</v>
      </c>
      <c r="I97" s="14">
        <f t="shared" si="5"/>
        <v>0</v>
      </c>
    </row>
    <row r="98" spans="1:9" ht="12.75">
      <c r="A98" s="121" t="s">
        <v>410</v>
      </c>
      <c r="B98" s="121" t="s">
        <v>101</v>
      </c>
      <c r="C98" s="121" t="s">
        <v>1372</v>
      </c>
      <c r="D98" s="122">
        <f>'Stavební rozpočet'!H1060</f>
        <v>0</v>
      </c>
      <c r="E98" s="122">
        <f>'Stavební rozpočet'!I1060</f>
        <v>0</v>
      </c>
      <c r="F98" s="122">
        <f t="shared" si="4"/>
        <v>0</v>
      </c>
      <c r="G98" s="122">
        <f>'Stavební rozpočet'!L1060</f>
        <v>0</v>
      </c>
      <c r="H98" s="14" t="s">
        <v>1785</v>
      </c>
      <c r="I98" s="14">
        <f t="shared" si="5"/>
        <v>0</v>
      </c>
    </row>
    <row r="99" spans="1:9" ht="12.75">
      <c r="A99" s="121" t="s">
        <v>410</v>
      </c>
      <c r="B99" s="121" t="s">
        <v>720</v>
      </c>
      <c r="C99" s="121" t="s">
        <v>1538</v>
      </c>
      <c r="D99" s="122">
        <f>'Stavební rozpočet'!H1063</f>
        <v>0</v>
      </c>
      <c r="E99" s="122">
        <f>'Stavební rozpočet'!I1063</f>
        <v>0</v>
      </c>
      <c r="F99" s="122">
        <f t="shared" si="4"/>
        <v>0</v>
      </c>
      <c r="G99" s="122">
        <f>'Stavební rozpočet'!L1063</f>
        <v>0</v>
      </c>
      <c r="H99" s="14" t="s">
        <v>1785</v>
      </c>
      <c r="I99" s="14">
        <f t="shared" si="5"/>
        <v>0</v>
      </c>
    </row>
    <row r="100" spans="1:9" ht="12.75">
      <c r="A100" s="124" t="s">
        <v>411</v>
      </c>
      <c r="B100" s="124"/>
      <c r="C100" s="124" t="s">
        <v>1620</v>
      </c>
      <c r="D100" s="125">
        <f>'Stavební rozpočet'!H1065</f>
        <v>0</v>
      </c>
      <c r="E100" s="125">
        <f>'Stavební rozpočet'!I1065</f>
        <v>0</v>
      </c>
      <c r="F100" s="125">
        <f t="shared" si="4"/>
        <v>0</v>
      </c>
      <c r="G100" s="125">
        <f>'Stavební rozpočet'!L1065</f>
        <v>2.521638</v>
      </c>
      <c r="H100" s="14" t="s">
        <v>1784</v>
      </c>
      <c r="I100" s="14">
        <f t="shared" si="5"/>
        <v>0</v>
      </c>
    </row>
    <row r="101" spans="1:9" ht="12.75">
      <c r="A101" s="121" t="s">
        <v>411</v>
      </c>
      <c r="B101" s="121" t="s">
        <v>81</v>
      </c>
      <c r="C101" s="121" t="s">
        <v>1108</v>
      </c>
      <c r="D101" s="122">
        <f>'Stavební rozpočet'!H1066</f>
        <v>0</v>
      </c>
      <c r="E101" s="122">
        <f>'Stavební rozpočet'!I1066</f>
        <v>0</v>
      </c>
      <c r="F101" s="122">
        <f t="shared" si="4"/>
        <v>0</v>
      </c>
      <c r="G101" s="122">
        <f>'Stavební rozpočet'!L1066</f>
        <v>0</v>
      </c>
      <c r="H101" s="14" t="s">
        <v>1785</v>
      </c>
      <c r="I101" s="14">
        <f t="shared" si="5"/>
        <v>0</v>
      </c>
    </row>
    <row r="102" spans="1:9" ht="12.75">
      <c r="A102" s="121" t="s">
        <v>411</v>
      </c>
      <c r="B102" s="121" t="s">
        <v>665</v>
      </c>
      <c r="C102" s="121" t="s">
        <v>1379</v>
      </c>
      <c r="D102" s="122">
        <f>'Stavební rozpočet'!H1070</f>
        <v>0</v>
      </c>
      <c r="E102" s="122">
        <f>'Stavební rozpočet'!I1070</f>
        <v>0</v>
      </c>
      <c r="F102" s="122">
        <f t="shared" si="4"/>
        <v>0</v>
      </c>
      <c r="G102" s="122">
        <f>'Stavební rozpočet'!L1070</f>
        <v>2.521638</v>
      </c>
      <c r="H102" s="14" t="s">
        <v>1785</v>
      </c>
      <c r="I102" s="14">
        <f t="shared" si="5"/>
        <v>0</v>
      </c>
    </row>
    <row r="103" spans="1:9" ht="12.75">
      <c r="A103" s="124" t="s">
        <v>412</v>
      </c>
      <c r="B103" s="124"/>
      <c r="C103" s="124" t="s">
        <v>1626</v>
      </c>
      <c r="D103" s="125">
        <f>'Stavební rozpočet'!H1073</f>
        <v>0</v>
      </c>
      <c r="E103" s="125">
        <f>'Stavební rozpočet'!I1073</f>
        <v>0</v>
      </c>
      <c r="F103" s="125">
        <f t="shared" si="4"/>
        <v>0</v>
      </c>
      <c r="G103" s="125">
        <f>'Stavební rozpočet'!L1073</f>
        <v>0</v>
      </c>
      <c r="H103" s="14" t="s">
        <v>1784</v>
      </c>
      <c r="I103" s="14">
        <f t="shared" si="5"/>
        <v>0</v>
      </c>
    </row>
    <row r="104" spans="1:9" ht="12.75">
      <c r="A104" s="121" t="s">
        <v>412</v>
      </c>
      <c r="B104" s="121" t="s">
        <v>93</v>
      </c>
      <c r="C104" s="121" t="s">
        <v>1627</v>
      </c>
      <c r="D104" s="122">
        <f>'Stavební rozpočet'!H1074</f>
        <v>0</v>
      </c>
      <c r="E104" s="122">
        <f>'Stavební rozpočet'!I1074</f>
        <v>0</v>
      </c>
      <c r="F104" s="122">
        <f t="shared" si="4"/>
        <v>0</v>
      </c>
      <c r="G104" s="122">
        <f>'Stavební rozpočet'!L1074</f>
        <v>0</v>
      </c>
      <c r="H104" s="14" t="s">
        <v>1785</v>
      </c>
      <c r="I104" s="14">
        <f t="shared" si="5"/>
        <v>0</v>
      </c>
    </row>
    <row r="105" spans="1:9" ht="12.75">
      <c r="A105" s="124" t="s">
        <v>413</v>
      </c>
      <c r="B105" s="124"/>
      <c r="C105" s="124" t="s">
        <v>1629</v>
      </c>
      <c r="D105" s="125">
        <f>'Stavební rozpočet'!H1076</f>
        <v>0</v>
      </c>
      <c r="E105" s="125">
        <f>'Stavební rozpočet'!I1076</f>
        <v>0</v>
      </c>
      <c r="F105" s="125">
        <f t="shared" si="4"/>
        <v>0</v>
      </c>
      <c r="G105" s="125">
        <f>'Stavební rozpočet'!L1076</f>
        <v>0</v>
      </c>
      <c r="H105" s="14" t="s">
        <v>1784</v>
      </c>
      <c r="I105" s="14">
        <f t="shared" si="5"/>
        <v>0</v>
      </c>
    </row>
    <row r="106" spans="1:9" ht="12.75">
      <c r="A106" s="121" t="s">
        <v>413</v>
      </c>
      <c r="B106" s="121" t="s">
        <v>93</v>
      </c>
      <c r="C106" s="121" t="s">
        <v>1627</v>
      </c>
      <c r="D106" s="122">
        <f>'Stavební rozpočet'!H1077</f>
        <v>0</v>
      </c>
      <c r="E106" s="122">
        <f>'Stavební rozpočet'!I1077</f>
        <v>0</v>
      </c>
      <c r="F106" s="122">
        <f t="shared" si="4"/>
        <v>0</v>
      </c>
      <c r="G106" s="122">
        <f>'Stavební rozpočet'!L1077</f>
        <v>0</v>
      </c>
      <c r="H106" s="14" t="s">
        <v>1785</v>
      </c>
      <c r="I106" s="14">
        <f t="shared" si="5"/>
        <v>0</v>
      </c>
    </row>
    <row r="107" spans="1:9" ht="12.75">
      <c r="A107" s="124" t="s">
        <v>414</v>
      </c>
      <c r="B107" s="124"/>
      <c r="C107" s="124" t="s">
        <v>1631</v>
      </c>
      <c r="D107" s="125">
        <f>'Stavební rozpočet'!H1079</f>
        <v>0</v>
      </c>
      <c r="E107" s="125">
        <f>'Stavební rozpočet'!I1079</f>
        <v>0</v>
      </c>
      <c r="F107" s="125">
        <f>D107+E107</f>
        <v>0</v>
      </c>
      <c r="G107" s="125">
        <f>'Stavební rozpočet'!L1079</f>
        <v>0</v>
      </c>
      <c r="H107" s="14" t="s">
        <v>1784</v>
      </c>
      <c r="I107" s="14">
        <f>IF(H107="F",0,F107)</f>
        <v>0</v>
      </c>
    </row>
    <row r="108" spans="1:9" ht="12.75">
      <c r="A108" s="121" t="s">
        <v>414</v>
      </c>
      <c r="B108" s="121" t="s">
        <v>93</v>
      </c>
      <c r="C108" s="121" t="s">
        <v>1627</v>
      </c>
      <c r="D108" s="122">
        <f>'Stavební rozpočet'!H1080</f>
        <v>0</v>
      </c>
      <c r="E108" s="122">
        <f>'Stavební rozpočet'!I1080</f>
        <v>0</v>
      </c>
      <c r="F108" s="122">
        <f>D108+E108</f>
        <v>0</v>
      </c>
      <c r="G108" s="122">
        <f>'Stavební rozpočet'!L1080</f>
        <v>0</v>
      </c>
      <c r="H108" s="14" t="s">
        <v>1785</v>
      </c>
      <c r="I108" s="14">
        <f>IF(H108="F",0,F108)</f>
        <v>0</v>
      </c>
    </row>
    <row r="109" spans="1:9" ht="12.75">
      <c r="A109" s="124" t="s">
        <v>16</v>
      </c>
      <c r="B109" s="124"/>
      <c r="C109" s="124" t="s">
        <v>1633</v>
      </c>
      <c r="D109" s="125">
        <f>'Stavební rozpočet'!H1082</f>
        <v>0</v>
      </c>
      <c r="E109" s="125">
        <f>'Stavební rozpočet'!I1082</f>
        <v>0</v>
      </c>
      <c r="F109" s="125">
        <f>D109+E109</f>
        <v>0</v>
      </c>
      <c r="G109" s="125">
        <f>'Stavební rozpočet'!L1082</f>
        <v>0</v>
      </c>
      <c r="H109" s="14" t="s">
        <v>1784</v>
      </c>
      <c r="I109" s="14">
        <f>IF(H109="F",0,F109)</f>
        <v>0</v>
      </c>
    </row>
    <row r="110" spans="1:9" ht="12.75">
      <c r="A110" s="121" t="s">
        <v>16</v>
      </c>
      <c r="B110" s="121" t="s">
        <v>93</v>
      </c>
      <c r="C110" s="121" t="s">
        <v>1627</v>
      </c>
      <c r="D110" s="122">
        <f>'Stavební rozpočet'!H1083</f>
        <v>0</v>
      </c>
      <c r="E110" s="122">
        <f>'Stavební rozpočet'!I1083</f>
        <v>0</v>
      </c>
      <c r="F110" s="122">
        <f>D110+E110</f>
        <v>0</v>
      </c>
      <c r="G110" s="122">
        <f>'Stavební rozpočet'!L1083</f>
        <v>0</v>
      </c>
      <c r="H110" s="14" t="s">
        <v>1785</v>
      </c>
      <c r="I110" s="14">
        <f>IF(H110="F",0,F110)</f>
        <v>0</v>
      </c>
    </row>
    <row r="111" spans="1:7" ht="12.75">
      <c r="A111" s="102"/>
      <c r="B111" s="102"/>
      <c r="C111" s="102"/>
      <c r="D111" s="102"/>
      <c r="E111" s="102"/>
      <c r="F111" s="102"/>
      <c r="G111" s="102"/>
    </row>
    <row r="112" spans="1:7" ht="12.75">
      <c r="A112" s="102"/>
      <c r="B112" s="102"/>
      <c r="C112" s="102"/>
      <c r="D112" s="102"/>
      <c r="E112" s="123" t="s">
        <v>1655</v>
      </c>
      <c r="F112" s="111">
        <f>SUM(I11:I110)</f>
        <v>0</v>
      </c>
      <c r="G112" s="102"/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34"/>
      <c r="B1" s="17"/>
      <c r="C1" s="58" t="s">
        <v>1801</v>
      </c>
      <c r="D1" s="59"/>
      <c r="E1" s="59"/>
      <c r="F1" s="59"/>
      <c r="G1" s="59"/>
      <c r="H1" s="59"/>
      <c r="I1" s="59"/>
    </row>
    <row r="2" spans="1:10" ht="12.75">
      <c r="A2" s="37" t="s">
        <v>1</v>
      </c>
      <c r="B2" s="38"/>
      <c r="C2" s="41" t="s">
        <v>768</v>
      </c>
      <c r="D2" s="57"/>
      <c r="E2" s="44" t="s">
        <v>1656</v>
      </c>
      <c r="F2" s="44" t="s">
        <v>1661</v>
      </c>
      <c r="G2" s="38"/>
      <c r="H2" s="44" t="s">
        <v>1826</v>
      </c>
      <c r="I2" s="60"/>
      <c r="J2" s="12"/>
    </row>
    <row r="3" spans="1:10" ht="12.75">
      <c r="A3" s="39"/>
      <c r="B3" s="40"/>
      <c r="C3" s="42"/>
      <c r="D3" s="42"/>
      <c r="E3" s="40"/>
      <c r="F3" s="40"/>
      <c r="G3" s="40"/>
      <c r="H3" s="40"/>
      <c r="I3" s="46"/>
      <c r="J3" s="12"/>
    </row>
    <row r="4" spans="1:10" ht="12.75">
      <c r="A4" s="47" t="s">
        <v>2</v>
      </c>
      <c r="B4" s="40"/>
      <c r="C4" s="48" t="s">
        <v>769</v>
      </c>
      <c r="D4" s="40"/>
      <c r="E4" s="48" t="s">
        <v>1657</v>
      </c>
      <c r="F4" s="48"/>
      <c r="G4" s="40"/>
      <c r="H4" s="48" t="s">
        <v>1826</v>
      </c>
      <c r="I4" s="61"/>
      <c r="J4" s="12"/>
    </row>
    <row r="5" spans="1:10" ht="12.75">
      <c r="A5" s="39"/>
      <c r="B5" s="40"/>
      <c r="C5" s="40"/>
      <c r="D5" s="40"/>
      <c r="E5" s="40"/>
      <c r="F5" s="40"/>
      <c r="G5" s="40"/>
      <c r="H5" s="40"/>
      <c r="I5" s="46"/>
      <c r="J5" s="12"/>
    </row>
    <row r="6" spans="1:10" ht="12.75">
      <c r="A6" s="47" t="s">
        <v>3</v>
      </c>
      <c r="B6" s="40"/>
      <c r="C6" s="48" t="s">
        <v>770</v>
      </c>
      <c r="D6" s="40"/>
      <c r="E6" s="48" t="s">
        <v>1658</v>
      </c>
      <c r="F6" s="48"/>
      <c r="G6" s="40"/>
      <c r="H6" s="48" t="s">
        <v>1826</v>
      </c>
      <c r="I6" s="61"/>
      <c r="J6" s="12"/>
    </row>
    <row r="7" spans="1:10" ht="12.75">
      <c r="A7" s="39"/>
      <c r="B7" s="40"/>
      <c r="C7" s="40"/>
      <c r="D7" s="40"/>
      <c r="E7" s="40"/>
      <c r="F7" s="40"/>
      <c r="G7" s="40"/>
      <c r="H7" s="40"/>
      <c r="I7" s="46"/>
      <c r="J7" s="12"/>
    </row>
    <row r="8" spans="1:10" ht="12.75">
      <c r="A8" s="47" t="s">
        <v>1635</v>
      </c>
      <c r="B8" s="40"/>
      <c r="C8" s="49" t="s">
        <v>6</v>
      </c>
      <c r="D8" s="40"/>
      <c r="E8" s="48" t="s">
        <v>1636</v>
      </c>
      <c r="F8" s="40"/>
      <c r="G8" s="40"/>
      <c r="H8" s="49" t="s">
        <v>1827</v>
      </c>
      <c r="I8" s="61" t="s">
        <v>403</v>
      </c>
      <c r="J8" s="12"/>
    </row>
    <row r="9" spans="1:10" ht="12.75">
      <c r="A9" s="39"/>
      <c r="B9" s="40"/>
      <c r="C9" s="40"/>
      <c r="D9" s="40"/>
      <c r="E9" s="40"/>
      <c r="F9" s="40"/>
      <c r="G9" s="40"/>
      <c r="H9" s="40"/>
      <c r="I9" s="46"/>
      <c r="J9" s="12"/>
    </row>
    <row r="10" spans="1:10" ht="12.75">
      <c r="A10" s="47" t="s">
        <v>4</v>
      </c>
      <c r="B10" s="40"/>
      <c r="C10" s="48"/>
      <c r="D10" s="40"/>
      <c r="E10" s="48" t="s">
        <v>1659</v>
      </c>
      <c r="F10" s="48" t="s">
        <v>1662</v>
      </c>
      <c r="G10" s="40"/>
      <c r="H10" s="49" t="s">
        <v>1828</v>
      </c>
      <c r="I10" s="64">
        <v>42830</v>
      </c>
      <c r="J10" s="12"/>
    </row>
    <row r="11" spans="1:10" ht="12.75">
      <c r="A11" s="62"/>
      <c r="B11" s="63"/>
      <c r="C11" s="63"/>
      <c r="D11" s="63"/>
      <c r="E11" s="63"/>
      <c r="F11" s="63"/>
      <c r="G11" s="63"/>
      <c r="H11" s="63"/>
      <c r="I11" s="65"/>
      <c r="J11" s="12"/>
    </row>
    <row r="12" spans="1:9" ht="23.25" customHeight="1">
      <c r="A12" s="66" t="s">
        <v>1786</v>
      </c>
      <c r="B12" s="67"/>
      <c r="C12" s="67"/>
      <c r="D12" s="67"/>
      <c r="E12" s="67"/>
      <c r="F12" s="67"/>
      <c r="G12" s="67"/>
      <c r="H12" s="67"/>
      <c r="I12" s="67"/>
    </row>
    <row r="13" spans="1:10" ht="26.25" customHeight="1">
      <c r="A13" s="18" t="s">
        <v>1787</v>
      </c>
      <c r="B13" s="68" t="s">
        <v>1799</v>
      </c>
      <c r="C13" s="69"/>
      <c r="D13" s="18" t="s">
        <v>1802</v>
      </c>
      <c r="E13" s="68" t="s">
        <v>1811</v>
      </c>
      <c r="F13" s="69"/>
      <c r="G13" s="18" t="s">
        <v>1812</v>
      </c>
      <c r="H13" s="68" t="s">
        <v>1829</v>
      </c>
      <c r="I13" s="69"/>
      <c r="J13" s="12"/>
    </row>
    <row r="14" spans="1:10" ht="15" customHeight="1">
      <c r="A14" s="19" t="s">
        <v>1788</v>
      </c>
      <c r="B14" s="23" t="s">
        <v>1800</v>
      </c>
      <c r="C14" s="27">
        <f>SUM('Stavební rozpočet'!R12:R1084)</f>
        <v>0</v>
      </c>
      <c r="D14" s="70" t="s">
        <v>1803</v>
      </c>
      <c r="E14" s="71"/>
      <c r="F14" s="27">
        <v>0</v>
      </c>
      <c r="G14" s="70" t="s">
        <v>1813</v>
      </c>
      <c r="H14" s="71"/>
      <c r="I14" s="27">
        <v>0</v>
      </c>
      <c r="J14" s="12"/>
    </row>
    <row r="15" spans="1:10" ht="15" customHeight="1">
      <c r="A15" s="20"/>
      <c r="B15" s="23" t="s">
        <v>1660</v>
      </c>
      <c r="C15" s="27">
        <f>SUM('Stavební rozpočet'!S12:S1084)</f>
        <v>0</v>
      </c>
      <c r="D15" s="70" t="s">
        <v>1804</v>
      </c>
      <c r="E15" s="71"/>
      <c r="F15" s="27">
        <v>0</v>
      </c>
      <c r="G15" s="70" t="s">
        <v>1814</v>
      </c>
      <c r="H15" s="71"/>
      <c r="I15" s="27">
        <v>0</v>
      </c>
      <c r="J15" s="12"/>
    </row>
    <row r="16" spans="1:10" ht="15" customHeight="1">
      <c r="A16" s="19" t="s">
        <v>1789</v>
      </c>
      <c r="B16" s="23" t="s">
        <v>1800</v>
      </c>
      <c r="C16" s="27">
        <f>SUM('Stavební rozpočet'!T12:T1084)</f>
        <v>0</v>
      </c>
      <c r="D16" s="70" t="s">
        <v>1805</v>
      </c>
      <c r="E16" s="71"/>
      <c r="F16" s="27">
        <v>0</v>
      </c>
      <c r="G16" s="70" t="s">
        <v>1815</v>
      </c>
      <c r="H16" s="71"/>
      <c r="I16" s="27">
        <v>0</v>
      </c>
      <c r="J16" s="12"/>
    </row>
    <row r="17" spans="1:10" ht="15" customHeight="1">
      <c r="A17" s="20"/>
      <c r="B17" s="23" t="s">
        <v>1660</v>
      </c>
      <c r="C17" s="27">
        <f>SUM('Stavební rozpočet'!U12:U1084)</f>
        <v>0</v>
      </c>
      <c r="D17" s="70"/>
      <c r="E17" s="71"/>
      <c r="F17" s="28"/>
      <c r="G17" s="70" t="s">
        <v>1816</v>
      </c>
      <c r="H17" s="71"/>
      <c r="I17" s="27">
        <v>0</v>
      </c>
      <c r="J17" s="12"/>
    </row>
    <row r="18" spans="1:10" ht="15" customHeight="1">
      <c r="A18" s="19" t="s">
        <v>1790</v>
      </c>
      <c r="B18" s="23" t="s">
        <v>1800</v>
      </c>
      <c r="C18" s="27">
        <f>SUM('Stavební rozpočet'!V12:V1084)</f>
        <v>0</v>
      </c>
      <c r="D18" s="70"/>
      <c r="E18" s="71"/>
      <c r="F18" s="28"/>
      <c r="G18" s="70" t="s">
        <v>1817</v>
      </c>
      <c r="H18" s="71"/>
      <c r="I18" s="27">
        <v>0</v>
      </c>
      <c r="J18" s="12"/>
    </row>
    <row r="19" spans="1:10" ht="15" customHeight="1">
      <c r="A19" s="20"/>
      <c r="B19" s="23" t="s">
        <v>1660</v>
      </c>
      <c r="C19" s="27">
        <f>SUM('Stavební rozpočet'!W12:W1084)</f>
        <v>0</v>
      </c>
      <c r="D19" s="70"/>
      <c r="E19" s="71"/>
      <c r="F19" s="28"/>
      <c r="G19" s="70" t="s">
        <v>1818</v>
      </c>
      <c r="H19" s="71"/>
      <c r="I19" s="27">
        <v>0</v>
      </c>
      <c r="J19" s="12"/>
    </row>
    <row r="20" spans="1:10" ht="15" customHeight="1">
      <c r="A20" s="72" t="s">
        <v>1791</v>
      </c>
      <c r="B20" s="73"/>
      <c r="C20" s="27">
        <f>SUM('Stavební rozpočet'!X12:X1084)</f>
        <v>0</v>
      </c>
      <c r="D20" s="70"/>
      <c r="E20" s="71"/>
      <c r="F20" s="28"/>
      <c r="G20" s="70"/>
      <c r="H20" s="71"/>
      <c r="I20" s="28"/>
      <c r="J20" s="12"/>
    </row>
    <row r="21" spans="1:10" ht="15" customHeight="1">
      <c r="A21" s="72" t="s">
        <v>1792</v>
      </c>
      <c r="B21" s="73"/>
      <c r="C21" s="27">
        <f>SUM('Stavební rozpočet'!P12:P1084)</f>
        <v>0</v>
      </c>
      <c r="D21" s="70"/>
      <c r="E21" s="71"/>
      <c r="F21" s="28"/>
      <c r="G21" s="70"/>
      <c r="H21" s="71"/>
      <c r="I21" s="28"/>
      <c r="J21" s="12"/>
    </row>
    <row r="22" spans="1:10" ht="16.5" customHeight="1">
      <c r="A22" s="72" t="s">
        <v>1793</v>
      </c>
      <c r="B22" s="73"/>
      <c r="C22" s="27">
        <f>SUM(C14:C21)</f>
        <v>0</v>
      </c>
      <c r="D22" s="72" t="s">
        <v>1806</v>
      </c>
      <c r="E22" s="73"/>
      <c r="F22" s="27">
        <f>SUM(F14:F21)</f>
        <v>0</v>
      </c>
      <c r="G22" s="72" t="s">
        <v>1819</v>
      </c>
      <c r="H22" s="73"/>
      <c r="I22" s="27">
        <f>SUM(I14:I21)</f>
        <v>0</v>
      </c>
      <c r="J22" s="12"/>
    </row>
    <row r="23" spans="1:10" ht="15" customHeight="1">
      <c r="A23" s="2"/>
      <c r="B23" s="2"/>
      <c r="C23" s="25"/>
      <c r="D23" s="72" t="s">
        <v>1807</v>
      </c>
      <c r="E23" s="73"/>
      <c r="F23" s="29">
        <v>0</v>
      </c>
      <c r="G23" s="72" t="s">
        <v>1820</v>
      </c>
      <c r="H23" s="73"/>
      <c r="I23" s="27">
        <v>0</v>
      </c>
      <c r="J23" s="12"/>
    </row>
    <row r="24" spans="4:9" ht="15" customHeight="1">
      <c r="D24" s="2"/>
      <c r="E24" s="2"/>
      <c r="F24" s="30"/>
      <c r="G24" s="72" t="s">
        <v>1821</v>
      </c>
      <c r="H24" s="73"/>
      <c r="I24" s="32"/>
    </row>
    <row r="25" spans="6:10" ht="15" customHeight="1">
      <c r="F25" s="31"/>
      <c r="G25" s="72" t="s">
        <v>1822</v>
      </c>
      <c r="H25" s="73"/>
      <c r="I25" s="27">
        <v>0</v>
      </c>
      <c r="J25" s="12"/>
    </row>
    <row r="26" spans="1:9" ht="12.75">
      <c r="A26" s="17"/>
      <c r="B26" s="17"/>
      <c r="C26" s="17"/>
      <c r="G26" s="2"/>
      <c r="H26" s="2"/>
      <c r="I26" s="2"/>
    </row>
    <row r="27" spans="1:9" ht="15" customHeight="1">
      <c r="A27" s="74" t="s">
        <v>1794</v>
      </c>
      <c r="B27" s="75"/>
      <c r="C27" s="33">
        <f>SUM('Stavební rozpočet'!Z12:Z1084)</f>
        <v>0</v>
      </c>
      <c r="D27" s="26"/>
      <c r="E27" s="17"/>
      <c r="F27" s="17"/>
      <c r="G27" s="17"/>
      <c r="H27" s="17"/>
      <c r="I27" s="17"/>
    </row>
    <row r="28" spans="1:10" ht="15" customHeight="1">
      <c r="A28" s="74" t="s">
        <v>1795</v>
      </c>
      <c r="B28" s="75"/>
      <c r="C28" s="33">
        <f>SUM('Stavební rozpočet'!AA12:AA1084)+(F22+I22+F23+I23+I24+I25)</f>
        <v>0</v>
      </c>
      <c r="D28" s="74" t="s">
        <v>1808</v>
      </c>
      <c r="E28" s="75"/>
      <c r="F28" s="33">
        <f>ROUND(C28*(15/100),2)</f>
        <v>0</v>
      </c>
      <c r="G28" s="74" t="s">
        <v>1823</v>
      </c>
      <c r="H28" s="75"/>
      <c r="I28" s="33">
        <f>SUM(C27:C29)</f>
        <v>0</v>
      </c>
      <c r="J28" s="12"/>
    </row>
    <row r="29" spans="1:10" ht="15" customHeight="1">
      <c r="A29" s="74" t="s">
        <v>1796</v>
      </c>
      <c r="B29" s="75"/>
      <c r="C29" s="33">
        <f>SUM('Stavební rozpočet'!AB12:AB1084)</f>
        <v>0</v>
      </c>
      <c r="D29" s="74" t="s">
        <v>1809</v>
      </c>
      <c r="E29" s="75"/>
      <c r="F29" s="33">
        <f>ROUND(C29*(21/100),2)</f>
        <v>0</v>
      </c>
      <c r="G29" s="74" t="s">
        <v>1824</v>
      </c>
      <c r="H29" s="75"/>
      <c r="I29" s="33">
        <f>SUM(F28:F29)+I28</f>
        <v>0</v>
      </c>
      <c r="J29" s="12"/>
    </row>
    <row r="30" spans="1:9" ht="12.75">
      <c r="A30" s="21"/>
      <c r="B30" s="21"/>
      <c r="C30" s="21"/>
      <c r="D30" s="21"/>
      <c r="E30" s="21"/>
      <c r="F30" s="21"/>
      <c r="G30" s="21"/>
      <c r="H30" s="21"/>
      <c r="I30" s="21"/>
    </row>
    <row r="31" spans="1:10" ht="14.25" customHeight="1">
      <c r="A31" s="76" t="s">
        <v>1797</v>
      </c>
      <c r="B31" s="77"/>
      <c r="C31" s="78"/>
      <c r="D31" s="76" t="s">
        <v>1810</v>
      </c>
      <c r="E31" s="77"/>
      <c r="F31" s="78"/>
      <c r="G31" s="76" t="s">
        <v>1825</v>
      </c>
      <c r="H31" s="77"/>
      <c r="I31" s="78"/>
      <c r="J31" s="13"/>
    </row>
    <row r="32" spans="1:10" ht="14.25" customHeight="1">
      <c r="A32" s="79"/>
      <c r="B32" s="80"/>
      <c r="C32" s="81"/>
      <c r="D32" s="79"/>
      <c r="E32" s="80"/>
      <c r="F32" s="81"/>
      <c r="G32" s="79"/>
      <c r="H32" s="80"/>
      <c r="I32" s="81"/>
      <c r="J32" s="13"/>
    </row>
    <row r="33" spans="1:10" ht="14.25" customHeight="1">
      <c r="A33" s="79"/>
      <c r="B33" s="80"/>
      <c r="C33" s="81"/>
      <c r="D33" s="79"/>
      <c r="E33" s="80"/>
      <c r="F33" s="81"/>
      <c r="G33" s="79"/>
      <c r="H33" s="80"/>
      <c r="I33" s="81"/>
      <c r="J33" s="13"/>
    </row>
    <row r="34" spans="1:10" ht="14.25" customHeight="1">
      <c r="A34" s="79"/>
      <c r="B34" s="80"/>
      <c r="C34" s="81"/>
      <c r="D34" s="79"/>
      <c r="E34" s="80"/>
      <c r="F34" s="81"/>
      <c r="G34" s="79"/>
      <c r="H34" s="80"/>
      <c r="I34" s="81"/>
      <c r="J34" s="13"/>
    </row>
    <row r="35" spans="1:10" ht="14.25" customHeight="1">
      <c r="A35" s="82" t="s">
        <v>1798</v>
      </c>
      <c r="B35" s="83"/>
      <c r="C35" s="84"/>
      <c r="D35" s="82" t="s">
        <v>1798</v>
      </c>
      <c r="E35" s="83"/>
      <c r="F35" s="84"/>
      <c r="G35" s="82" t="s">
        <v>1798</v>
      </c>
      <c r="H35" s="83"/>
      <c r="I35" s="84"/>
      <c r="J35" s="13"/>
    </row>
    <row r="36" spans="1:9" ht="11.25" customHeight="1">
      <c r="A36" s="22" t="s">
        <v>404</v>
      </c>
      <c r="B36" s="24"/>
      <c r="C36" s="24"/>
      <c r="D36" s="24"/>
      <c r="E36" s="24"/>
      <c r="F36" s="24"/>
      <c r="G36" s="24"/>
      <c r="H36" s="24"/>
      <c r="I36" s="24"/>
    </row>
    <row r="37" spans="1:9" ht="409.5" customHeight="1" hidden="1">
      <c r="A37" s="48"/>
      <c r="B37" s="40"/>
      <c r="C37" s="40"/>
      <c r="D37" s="40"/>
      <c r="E37" s="40"/>
      <c r="F37" s="40"/>
      <c r="G37" s="40"/>
      <c r="H37" s="40"/>
      <c r="I37" s="4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2017-04-13T12:56:30Z</dcterms:created>
  <dcterms:modified xsi:type="dcterms:W3CDTF">2017-04-13T12:57:43Z</dcterms:modified>
  <cp:category/>
  <cp:version/>
  <cp:contentType/>
  <cp:contentStatus/>
</cp:coreProperties>
</file>